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'1.0' encoding='utf-8' standalone='yes'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aiba\Desktop\Emory Options and Futures\"/>
    </mc:Choice>
  </mc:AlternateContent>
  <xr:revisionPtr revIDLastSave="0" documentId="13_ncr:1_{56E3D2BD-F578-4E07-A276-CC165B7F1C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V Factors" sheetId="1" r:id="rId1"/>
    <sheet name="Bond Pricing" sheetId="2" r:id="rId2"/>
    <sheet name="Bond YTM" sheetId="3" r:id="rId3"/>
  </sheets>
  <calcPr calcId="181029"/>
</workbook>
</file>

<file path=xl/calcChain.xml><?xml version="1.0" encoding="utf-8"?>
<calcChain xmlns="http://schemas.openxmlformats.org/spreadsheetml/2006/main">
  <c r="H2" i="2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" i="1"/>
  <c r="I2" i="1"/>
  <c r="H2" i="1"/>
  <c r="C3" i="1"/>
  <c r="G5" i="3"/>
  <c r="F5" i="3"/>
  <c r="E5" i="3"/>
  <c r="G4" i="3"/>
  <c r="F4" i="3"/>
  <c r="E4" i="3"/>
  <c r="F3" i="3"/>
  <c r="E3" i="3"/>
  <c r="G3" i="3" s="1"/>
  <c r="F2" i="3"/>
  <c r="E2" i="3"/>
  <c r="G2" i="3" s="1"/>
  <c r="H5" i="2"/>
  <c r="G5" i="2"/>
  <c r="F5" i="2"/>
  <c r="I5" i="2" s="1"/>
  <c r="E5" i="2"/>
  <c r="G4" i="2"/>
  <c r="F4" i="2"/>
  <c r="I4" i="2" s="1"/>
  <c r="E4" i="2"/>
  <c r="G3" i="2"/>
  <c r="H3" i="2" s="1"/>
  <c r="J3" i="2" s="1"/>
  <c r="F3" i="2"/>
  <c r="I3" i="2" s="1"/>
  <c r="E3" i="2"/>
  <c r="G2" i="2"/>
  <c r="F2" i="2"/>
  <c r="I2" i="2" s="1"/>
  <c r="E2" i="2"/>
  <c r="D24" i="1"/>
  <c r="B21" i="1"/>
  <c r="C21" i="1" s="1"/>
  <c r="B20" i="1"/>
  <c r="C20" i="1" s="1"/>
  <c r="B19" i="1"/>
  <c r="C19" i="1" s="1"/>
  <c r="B18" i="1"/>
  <c r="C18" i="1" s="1"/>
  <c r="B17" i="1"/>
  <c r="C17" i="1" s="1"/>
  <c r="B16" i="1"/>
  <c r="C16" i="1" s="1"/>
  <c r="B15" i="1"/>
  <c r="C15" i="1" s="1"/>
  <c r="B14" i="1"/>
  <c r="C14" i="1" s="1"/>
  <c r="B13" i="1"/>
  <c r="C13" i="1" s="1"/>
  <c r="B12" i="1"/>
  <c r="C12" i="1" s="1"/>
  <c r="B11" i="1"/>
  <c r="C11" i="1" s="1"/>
  <c r="B10" i="1"/>
  <c r="C10" i="1" s="1"/>
  <c r="B9" i="1"/>
  <c r="C9" i="1" s="1"/>
  <c r="B8" i="1"/>
  <c r="C8" i="1" s="1"/>
  <c r="B7" i="1"/>
  <c r="C7" i="1" s="1"/>
  <c r="B6" i="1"/>
  <c r="C6" i="1" s="1"/>
  <c r="B5" i="1"/>
  <c r="C5" i="1" s="1"/>
  <c r="B4" i="1"/>
  <c r="C4" i="1" s="1"/>
  <c r="B3" i="1"/>
  <c r="B2" i="1"/>
  <c r="C2" i="1" s="1"/>
  <c r="J2" i="2" l="1"/>
  <c r="D23" i="1"/>
  <c r="J5" i="2"/>
  <c r="H4" i="2"/>
  <c r="J4" i="2" s="1"/>
</calcChain>
</file>

<file path=xl/sharedStrings.xml><?xml version="1.0" encoding="utf-8"?>
<sst xmlns="http://schemas.openxmlformats.org/spreadsheetml/2006/main" count="35" uniqueCount="28">
  <si>
    <t>Year (t)</t>
  </si>
  <si>
    <t>b(t) = 1/(1+r)^t</t>
  </si>
  <si>
    <t>PV of 40K Payment</t>
  </si>
  <si>
    <t>Cumulative PV</t>
  </si>
  <si>
    <t>r</t>
  </si>
  <si>
    <t>C</t>
  </si>
  <si>
    <t>Total PV</t>
  </si>
  <si>
    <t>PV by Formula</t>
  </si>
  <si>
    <t>Bond</t>
  </si>
  <si>
    <t>Coupon Rate</t>
  </si>
  <si>
    <t>Term (years)</t>
  </si>
  <si>
    <t>YTM</t>
  </si>
  <si>
    <t>Periods (n)</t>
  </si>
  <si>
    <t>Periodic Rate</t>
  </si>
  <si>
    <t>Coupon Payment</t>
  </si>
  <si>
    <t>PV of Coupons</t>
  </si>
  <si>
    <t>PV of Face</t>
  </si>
  <si>
    <t>Price</t>
  </si>
  <si>
    <t>A</t>
  </si>
  <si>
    <t>B</t>
  </si>
  <si>
    <t>D</t>
  </si>
  <si>
    <t>YTM (Bond Equivalent)</t>
  </si>
  <si>
    <t>E</t>
  </si>
  <si>
    <t>F</t>
  </si>
  <si>
    <t>G</t>
  </si>
  <si>
    <t>H</t>
  </si>
  <si>
    <t>1/r</t>
  </si>
  <si>
    <t>1/(1+r)*T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</si>
</sst>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PV Factors (b(t))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'PV Factors'!$B$1</c:f>
              <c:strCache>
                <c:ptCount val="1"/>
                <c:pt idx="0">
                  <c:v>b(t) = 1/(1+r)^t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'PV Factors'!$A$2:$A$21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cat>
          <c:val>
            <c:numRef>
              <c:f>'PV Factors'!$B$2:$B$21</c:f>
              <c:numCache>
                <c:formatCode>General</c:formatCode>
                <c:ptCount val="20"/>
                <c:pt idx="0">
                  <c:v>0.96618357487922713</c:v>
                </c:pt>
                <c:pt idx="1">
                  <c:v>0.93351070036640305</c:v>
                </c:pt>
                <c:pt idx="2">
                  <c:v>0.90194270566802237</c:v>
                </c:pt>
                <c:pt idx="3">
                  <c:v>0.87144222769857238</c:v>
                </c:pt>
                <c:pt idx="4">
                  <c:v>0.84197316685852419</c:v>
                </c:pt>
                <c:pt idx="5">
                  <c:v>0.81350064430775282</c:v>
                </c:pt>
                <c:pt idx="6">
                  <c:v>0.78599096068381913</c:v>
                </c:pt>
                <c:pt idx="7">
                  <c:v>0.75941155621625056</c:v>
                </c:pt>
                <c:pt idx="8">
                  <c:v>0.73373097218961414</c:v>
                </c:pt>
                <c:pt idx="9">
                  <c:v>0.70891881370977217</c:v>
                </c:pt>
                <c:pt idx="10">
                  <c:v>0.68494571372924851</c:v>
                </c:pt>
                <c:pt idx="11">
                  <c:v>0.66178329828912896</c:v>
                </c:pt>
                <c:pt idx="12">
                  <c:v>0.63940415293635666</c:v>
                </c:pt>
                <c:pt idx="13">
                  <c:v>0.61778179027667302</c:v>
                </c:pt>
                <c:pt idx="14">
                  <c:v>0.59689061862480497</c:v>
                </c:pt>
                <c:pt idx="15">
                  <c:v>0.57670591171478747</c:v>
                </c:pt>
                <c:pt idx="16">
                  <c:v>0.55720377943457733</c:v>
                </c:pt>
                <c:pt idx="17">
                  <c:v>0.53836113955031628</c:v>
                </c:pt>
                <c:pt idx="18">
                  <c:v>0.52015569038677911</c:v>
                </c:pt>
                <c:pt idx="19">
                  <c:v>0.50256588443167061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73F-45DD-A9ED-4B0ED66B0A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 (t)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b(t)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'1.0' encoding='utf-8' standalone='yes'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487680</xdr:colOff>
      <xdr:row>4</xdr:row>
      <xdr:rowOff>121920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E4" sqref="E4"/>
    </sheetView>
  </sheetViews>
  <sheetFormatPr defaultRowHeight="14.4" x14ac:dyDescent="0.3"/>
  <cols>
    <col min="2" max="2" width="12.88671875" bestFit="1" customWidth="1"/>
    <col min="3" max="3" width="16.44140625" bestFit="1" customWidth="1"/>
    <col min="4" max="4" width="12.6640625" bestFit="1" customWidth="1"/>
  </cols>
  <sheetData>
    <row r="1" spans="1:9" x14ac:dyDescent="0.3">
      <c r="A1" s="2" t="s">
        <v>0</v>
      </c>
      <c r="B1" s="2" t="s">
        <v>1</v>
      </c>
      <c r="C1" s="2" t="s">
        <v>2</v>
      </c>
      <c r="D1" s="2" t="s">
        <v>3</v>
      </c>
      <c r="F1" s="1" t="s">
        <v>4</v>
      </c>
      <c r="G1" s="1" t="s">
        <v>5</v>
      </c>
      <c r="H1" s="1" t="s">
        <v>26</v>
      </c>
      <c r="I1" s="1" t="s">
        <v>27</v>
      </c>
    </row>
    <row r="2" spans="1:9" x14ac:dyDescent="0.3">
      <c r="A2">
        <v>1</v>
      </c>
      <c r="B2">
        <f>1/((1+$F$2)^1)</f>
        <v>0.96618357487922713</v>
      </c>
      <c r="C2">
        <f t="shared" ref="C2:C21" si="0">$B2*$G$2</f>
        <v>38647.342995169085</v>
      </c>
      <c r="D2">
        <f>$G$2*((1/$F$2)*(1-1/((1+$F$2)^A2)))</f>
        <v>38647.342995168998</v>
      </c>
      <c r="F2">
        <v>3.5000000000000003E-2</v>
      </c>
      <c r="G2">
        <v>40000</v>
      </c>
      <c r="H2">
        <f>1/F2</f>
        <v>28.571428571428569</v>
      </c>
      <c r="I2">
        <f>1/(1.035)^A2</f>
        <v>0.96618357487922713</v>
      </c>
    </row>
    <row r="3" spans="1:9" x14ac:dyDescent="0.3">
      <c r="A3">
        <v>2</v>
      </c>
      <c r="B3">
        <f>1/((1+$F$2)^2)</f>
        <v>0.93351070036640305</v>
      </c>
      <c r="C3">
        <f>$B3*$G$2</f>
        <v>37340.428014656121</v>
      </c>
      <c r="D3">
        <f t="shared" ref="D3:D21" si="1">$G$2*((1/$F$2)*(1-1/((1+$F$2)^A3)))</f>
        <v>75987.771009825083</v>
      </c>
    </row>
    <row r="4" spans="1:9" x14ac:dyDescent="0.3">
      <c r="A4">
        <v>3</v>
      </c>
      <c r="B4">
        <f>1/((1+$F$2)^3)</f>
        <v>0.90194270566802237</v>
      </c>
      <c r="C4">
        <f t="shared" si="0"/>
        <v>36077.708226720897</v>
      </c>
      <c r="D4">
        <f t="shared" si="1"/>
        <v>112065.47923654586</v>
      </c>
    </row>
    <row r="5" spans="1:9" x14ac:dyDescent="0.3">
      <c r="A5">
        <v>4</v>
      </c>
      <c r="B5">
        <f>1/((1+$F$2)^4)</f>
        <v>0.87144222769857238</v>
      </c>
      <c r="C5">
        <f t="shared" si="0"/>
        <v>34857.689107942897</v>
      </c>
      <c r="D5">
        <f t="shared" si="1"/>
        <v>146923.16834448869</v>
      </c>
    </row>
    <row r="6" spans="1:9" x14ac:dyDescent="0.3">
      <c r="A6">
        <v>5</v>
      </c>
      <c r="B6">
        <f>1/((1+$F$2)^5)</f>
        <v>0.84197316685852419</v>
      </c>
      <c r="C6">
        <f t="shared" si="0"/>
        <v>33678.926674340968</v>
      </c>
      <c r="D6">
        <f t="shared" si="1"/>
        <v>180602.09501882948</v>
      </c>
    </row>
    <row r="7" spans="1:9" x14ac:dyDescent="0.3">
      <c r="A7">
        <v>6</v>
      </c>
      <c r="B7">
        <f>1/((1+$F$2)^6)</f>
        <v>0.81350064430775282</v>
      </c>
      <c r="C7">
        <f t="shared" si="0"/>
        <v>32540.025772310113</v>
      </c>
      <c r="D7">
        <f t="shared" si="1"/>
        <v>213142.1207911396</v>
      </c>
    </row>
    <row r="8" spans="1:9" x14ac:dyDescent="0.3">
      <c r="A8">
        <v>7</v>
      </c>
      <c r="B8">
        <f>1/((1+$F$2)^7)</f>
        <v>0.78599096068381913</v>
      </c>
      <c r="C8">
        <f t="shared" si="0"/>
        <v>31439.638427352766</v>
      </c>
      <c r="D8">
        <f t="shared" si="1"/>
        <v>244581.7592184924</v>
      </c>
    </row>
    <row r="9" spans="1:9" x14ac:dyDescent="0.3">
      <c r="A9">
        <v>8</v>
      </c>
      <c r="B9">
        <f>1/((1+$F$2)^8)</f>
        <v>0.75941155621625056</v>
      </c>
      <c r="C9">
        <f t="shared" si="0"/>
        <v>30376.462248650023</v>
      </c>
      <c r="D9">
        <f t="shared" si="1"/>
        <v>274958.22146714217</v>
      </c>
    </row>
    <row r="10" spans="1:9" x14ac:dyDescent="0.3">
      <c r="A10">
        <v>9</v>
      </c>
      <c r="B10">
        <f>1/((1+$F$2)^9)</f>
        <v>0.73373097218961414</v>
      </c>
      <c r="C10">
        <f t="shared" si="0"/>
        <v>29349.238887584565</v>
      </c>
      <c r="D10">
        <f t="shared" si="1"/>
        <v>304307.4603547267</v>
      </c>
    </row>
    <row r="11" spans="1:9" x14ac:dyDescent="0.3">
      <c r="A11">
        <v>10</v>
      </c>
      <c r="B11">
        <f>1/((1+$F$2)^10)</f>
        <v>0.70891881370977217</v>
      </c>
      <c r="C11">
        <f t="shared" si="0"/>
        <v>28356.752548390887</v>
      </c>
      <c r="D11">
        <f t="shared" si="1"/>
        <v>332664.21290311747</v>
      </c>
    </row>
    <row r="12" spans="1:9" x14ac:dyDescent="0.3">
      <c r="A12">
        <v>11</v>
      </c>
      <c r="B12">
        <f>1/((1+$F$2)^11)</f>
        <v>0.68494571372924851</v>
      </c>
      <c r="C12">
        <f t="shared" si="0"/>
        <v>27397.828549169939</v>
      </c>
      <c r="D12">
        <f t="shared" si="1"/>
        <v>360062.04145228735</v>
      </c>
    </row>
    <row r="13" spans="1:9" x14ac:dyDescent="0.3">
      <c r="A13">
        <v>12</v>
      </c>
      <c r="B13">
        <f>1/((1+$F$2)^12)</f>
        <v>0.66178329828912896</v>
      </c>
      <c r="C13">
        <f t="shared" si="0"/>
        <v>26471.331931565157</v>
      </c>
      <c r="D13">
        <f t="shared" si="1"/>
        <v>386533.37338385254</v>
      </c>
    </row>
    <row r="14" spans="1:9" x14ac:dyDescent="0.3">
      <c r="A14">
        <v>13</v>
      </c>
      <c r="B14">
        <f>1/((1+$F$2)^13)</f>
        <v>0.63940415293635666</v>
      </c>
      <c r="C14">
        <f t="shared" si="0"/>
        <v>25576.166117454268</v>
      </c>
      <c r="D14">
        <f t="shared" si="1"/>
        <v>412109.53950130666</v>
      </c>
    </row>
    <row r="15" spans="1:9" x14ac:dyDescent="0.3">
      <c r="A15">
        <v>14</v>
      </c>
      <c r="B15">
        <f>1/((1+$F$2)^14)</f>
        <v>0.61778179027667302</v>
      </c>
      <c r="C15">
        <f t="shared" si="0"/>
        <v>24711.271611066921</v>
      </c>
      <c r="D15">
        <f t="shared" si="1"/>
        <v>436820.81111237366</v>
      </c>
    </row>
    <row r="16" spans="1:9" x14ac:dyDescent="0.3">
      <c r="A16">
        <v>15</v>
      </c>
      <c r="B16">
        <f>1/((1+$F$2)^15)</f>
        <v>0.59689061862480497</v>
      </c>
      <c r="C16">
        <f t="shared" si="0"/>
        <v>23875.624744992198</v>
      </c>
      <c r="D16">
        <f t="shared" si="1"/>
        <v>460696.43585736572</v>
      </c>
    </row>
    <row r="17" spans="1:4" x14ac:dyDescent="0.3">
      <c r="A17">
        <v>16</v>
      </c>
      <c r="B17">
        <f>1/((1+$F$2)^16)</f>
        <v>0.57670591171478747</v>
      </c>
      <c r="C17">
        <f t="shared" si="0"/>
        <v>23068.236468591498</v>
      </c>
      <c r="D17">
        <f t="shared" si="1"/>
        <v>483764.67232595716</v>
      </c>
    </row>
    <row r="18" spans="1:4" x14ac:dyDescent="0.3">
      <c r="A18">
        <v>17</v>
      </c>
      <c r="B18">
        <f>1/((1+$F$2)^17)</f>
        <v>0.55720377943457733</v>
      </c>
      <c r="C18">
        <f t="shared" si="0"/>
        <v>22288.151177383093</v>
      </c>
      <c r="D18">
        <f t="shared" si="1"/>
        <v>506052.82350334013</v>
      </c>
    </row>
    <row r="19" spans="1:4" x14ac:dyDescent="0.3">
      <c r="A19">
        <v>18</v>
      </c>
      <c r="B19">
        <f>1/((1+$F$2)^18)</f>
        <v>0.53836113955031628</v>
      </c>
      <c r="C19">
        <f t="shared" si="0"/>
        <v>21534.44558201265</v>
      </c>
      <c r="D19">
        <f t="shared" si="1"/>
        <v>527587.26908535277</v>
      </c>
    </row>
    <row r="20" spans="1:4" x14ac:dyDescent="0.3">
      <c r="A20">
        <v>19</v>
      </c>
      <c r="B20">
        <f>1/((1+$F$2)^19)</f>
        <v>0.52015569038677911</v>
      </c>
      <c r="C20">
        <f t="shared" si="0"/>
        <v>20806.227615471165</v>
      </c>
      <c r="D20">
        <f t="shared" si="1"/>
        <v>548393.49670082389</v>
      </c>
    </row>
    <row r="21" spans="1:4" x14ac:dyDescent="0.3">
      <c r="A21">
        <v>20</v>
      </c>
      <c r="B21">
        <f>1/((1+$F$2)^20)</f>
        <v>0.50256588443167061</v>
      </c>
      <c r="C21">
        <f t="shared" si="0"/>
        <v>20102.635377266823</v>
      </c>
      <c r="D21">
        <f t="shared" si="1"/>
        <v>568496.13207809068</v>
      </c>
    </row>
    <row r="23" spans="1:4" x14ac:dyDescent="0.3">
      <c r="C23" s="2" t="s">
        <v>6</v>
      </c>
      <c r="D23">
        <f>SUM(C2:C21)</f>
        <v>568496.13207809196</v>
      </c>
    </row>
    <row r="24" spans="1:4" x14ac:dyDescent="0.3">
      <c r="C24" s="2" t="s">
        <v>7</v>
      </c>
      <c r="D24">
        <f>($G$2/$F$2)*(1-1/((1+$F$2)^20))</f>
        <v>568496.13207809068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"/>
  <sheetViews>
    <sheetView zoomScale="85" zoomScaleNormal="85" workbookViewId="0">
      <selection activeCell="H3" sqref="H3"/>
    </sheetView>
  </sheetViews>
  <sheetFormatPr defaultRowHeight="14.4" x14ac:dyDescent="0.3"/>
  <cols>
    <col min="1" max="1" width="5.88671875" customWidth="1"/>
    <col min="2" max="2" width="11.88671875" bestFit="1" customWidth="1"/>
    <col min="3" max="3" width="11.5546875" bestFit="1" customWidth="1"/>
    <col min="5" max="5" width="10.109375" bestFit="1" customWidth="1"/>
    <col min="6" max="6" width="13.44140625" customWidth="1"/>
    <col min="7" max="7" width="16.44140625" bestFit="1" customWidth="1"/>
    <col min="8" max="8" width="13.5546875" bestFit="1" customWidth="1"/>
    <col min="9" max="9" width="12" bestFit="1" customWidth="1"/>
  </cols>
  <sheetData>
    <row r="1" spans="1:10" x14ac:dyDescent="0.3">
      <c r="A1" s="3" t="s">
        <v>8</v>
      </c>
      <c r="B1" s="3" t="s">
        <v>9</v>
      </c>
      <c r="C1" s="3" t="s">
        <v>10</v>
      </c>
      <c r="D1" s="3" t="s">
        <v>11</v>
      </c>
      <c r="E1" s="3" t="s">
        <v>12</v>
      </c>
      <c r="F1" s="3" t="s">
        <v>13</v>
      </c>
      <c r="G1" s="3" t="s">
        <v>14</v>
      </c>
      <c r="H1" s="3" t="s">
        <v>15</v>
      </c>
      <c r="I1" s="3" t="s">
        <v>16</v>
      </c>
      <c r="J1" s="3" t="s">
        <v>17</v>
      </c>
    </row>
    <row r="2" spans="1:10" x14ac:dyDescent="0.3">
      <c r="A2" t="s">
        <v>18</v>
      </c>
      <c r="B2">
        <v>0.05</v>
      </c>
      <c r="C2">
        <v>9</v>
      </c>
      <c r="D2">
        <v>0.04</v>
      </c>
      <c r="E2">
        <f>C2*2</f>
        <v>18</v>
      </c>
      <c r="F2">
        <f>D2/2</f>
        <v>0.02</v>
      </c>
      <c r="G2">
        <f>B2/2*1000</f>
        <v>25</v>
      </c>
      <c r="H2">
        <f>IF(G2=0,0,G2*(1-(1+F2)^(-E2))/F2)</f>
        <v>374.80078129297084</v>
      </c>
      <c r="I2">
        <f>1000/(1+F2)^E2</f>
        <v>700.15937496562333</v>
      </c>
      <c r="J2">
        <f>H2+I2</f>
        <v>1074.9601562585942</v>
      </c>
    </row>
    <row r="3" spans="1:10" x14ac:dyDescent="0.3">
      <c r="A3" t="s">
        <v>19</v>
      </c>
      <c r="B3">
        <v>7.0000000000000007E-2</v>
      </c>
      <c r="C3">
        <v>12</v>
      </c>
      <c r="D3">
        <v>7.0000000000000007E-2</v>
      </c>
      <c r="E3">
        <f>C3*2</f>
        <v>24</v>
      </c>
      <c r="F3">
        <f>D3/2</f>
        <v>3.5000000000000003E-2</v>
      </c>
      <c r="G3">
        <f>B3/2*1000</f>
        <v>35</v>
      </c>
      <c r="H3">
        <f>IF(G3=0,0,G3*(1-(1+F3)^(-E3))/F3)</f>
        <v>562.04286610556164</v>
      </c>
      <c r="I3">
        <f>1000/(1+F3)^E3</f>
        <v>437.95713389443841</v>
      </c>
      <c r="J3">
        <f>H3+I3</f>
        <v>1000</v>
      </c>
    </row>
    <row r="4" spans="1:10" x14ac:dyDescent="0.3">
      <c r="A4" t="s">
        <v>5</v>
      </c>
      <c r="B4">
        <v>5.5E-2</v>
      </c>
      <c r="C4">
        <v>15</v>
      </c>
      <c r="D4">
        <v>4.3999999999999997E-2</v>
      </c>
      <c r="E4">
        <f>C4*2</f>
        <v>30</v>
      </c>
      <c r="F4">
        <f>D4/2</f>
        <v>2.1999999999999999E-2</v>
      </c>
      <c r="G4">
        <f>B4/2*1000</f>
        <v>27.5</v>
      </c>
      <c r="H4">
        <f>IF(G4=0,0,G4*(1-(1+F4)^(-E4))/F4)</f>
        <v>599.29650550385384</v>
      </c>
      <c r="I4">
        <f>1000/(1+F4)^E4</f>
        <v>520.562795596917</v>
      </c>
      <c r="J4">
        <f>H4+I4</f>
        <v>1119.8593011007708</v>
      </c>
    </row>
    <row r="5" spans="1:10" x14ac:dyDescent="0.3">
      <c r="A5" t="s">
        <v>20</v>
      </c>
      <c r="B5">
        <v>0</v>
      </c>
      <c r="C5">
        <v>20</v>
      </c>
      <c r="D5">
        <v>0.03</v>
      </c>
      <c r="E5">
        <f>C5*2</f>
        <v>40</v>
      </c>
      <c r="F5">
        <f>D5/2</f>
        <v>1.4999999999999999E-2</v>
      </c>
      <c r="G5">
        <f>B5/2*1000</f>
        <v>0</v>
      </c>
      <c r="H5">
        <f>IF(G5=0,0,G5*(1-(1+F5)^(-E5))/F5)</f>
        <v>0</v>
      </c>
      <c r="I5">
        <f>1000/(1+F5)^E5</f>
        <v>551.26232193738451</v>
      </c>
      <c r="J5">
        <f>H5+I5</f>
        <v>551.26232193738451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workbookViewId="0">
      <selection activeCell="G11" sqref="G11"/>
    </sheetView>
  </sheetViews>
  <sheetFormatPr defaultRowHeight="14.4" x14ac:dyDescent="0.3"/>
  <cols>
    <col min="3" max="3" width="11.5546875" bestFit="1" customWidth="1"/>
    <col min="5" max="5" width="10.109375" bestFit="1" customWidth="1"/>
    <col min="6" max="6" width="15.77734375" bestFit="1" customWidth="1"/>
    <col min="7" max="7" width="20.5546875" bestFit="1" customWidth="1"/>
  </cols>
  <sheetData>
    <row r="1" spans="1:7" x14ac:dyDescent="0.3">
      <c r="A1" s="3" t="s">
        <v>8</v>
      </c>
      <c r="B1" s="3" t="s">
        <v>9</v>
      </c>
      <c r="C1" s="3" t="s">
        <v>10</v>
      </c>
      <c r="D1" s="3" t="s">
        <v>17</v>
      </c>
      <c r="E1" s="3" t="s">
        <v>12</v>
      </c>
      <c r="F1" s="3" t="s">
        <v>14</v>
      </c>
      <c r="G1" s="3" t="s">
        <v>21</v>
      </c>
    </row>
    <row r="2" spans="1:7" x14ac:dyDescent="0.3">
      <c r="A2" t="s">
        <v>22</v>
      </c>
      <c r="B2">
        <v>0.06</v>
      </c>
      <c r="C2">
        <v>7</v>
      </c>
      <c r="D2">
        <v>945.4</v>
      </c>
      <c r="E2">
        <f>C2*2</f>
        <v>14</v>
      </c>
      <c r="F2">
        <f>B2/2*1000</f>
        <v>30</v>
      </c>
      <c r="G2">
        <f>RATE(E2,F2,-D2,1000)*2</f>
        <v>6.9999507044019943E-2</v>
      </c>
    </row>
    <row r="3" spans="1:7" x14ac:dyDescent="0.3">
      <c r="A3" t="s">
        <v>23</v>
      </c>
      <c r="B3">
        <v>4.4999999999999998E-2</v>
      </c>
      <c r="C3">
        <v>4</v>
      </c>
      <c r="D3">
        <v>1018.31</v>
      </c>
      <c r="E3">
        <f>C3*2</f>
        <v>8</v>
      </c>
      <c r="F3">
        <f>B3/2*1000</f>
        <v>22.5</v>
      </c>
      <c r="G3">
        <f>RATE(E3,F3,-D3,1000)*2</f>
        <v>4.0001000379245727E-2</v>
      </c>
    </row>
    <row r="4" spans="1:7" x14ac:dyDescent="0.3">
      <c r="A4" t="s">
        <v>24</v>
      </c>
      <c r="B4">
        <v>7.0000000000000007E-2</v>
      </c>
      <c r="C4">
        <v>5</v>
      </c>
      <c r="D4">
        <v>959.45</v>
      </c>
      <c r="E4">
        <f>C4*2</f>
        <v>10</v>
      </c>
      <c r="F4">
        <f>B4/2*1000</f>
        <v>35</v>
      </c>
      <c r="G4">
        <f>RATE(E4,F4,-D4,1000)*2</f>
        <v>7.9998867397112164E-2</v>
      </c>
    </row>
    <row r="5" spans="1:7" x14ac:dyDescent="0.3">
      <c r="A5" t="s">
        <v>25</v>
      </c>
      <c r="B5">
        <v>0</v>
      </c>
      <c r="C5">
        <v>10</v>
      </c>
      <c r="D5">
        <v>553.67999999999995</v>
      </c>
      <c r="E5">
        <f>C5*2</f>
        <v>20</v>
      </c>
      <c r="F5">
        <f>B5/2*1000</f>
        <v>0</v>
      </c>
      <c r="G5">
        <f>RATE(E5,F5,-D5,1000)*2</f>
        <v>5.9999210156768325E-2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Office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PV Factors</vt:lpstr>
      <vt:lpstr>Bond Pricing</vt:lpstr>
      <vt:lpstr>Bond YTM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dcterms:created xsi:type="dcterms:W3CDTF">2025-10-29T18:41:35Z</dcterms:created>
  <dcterms:modified xsi:type="dcterms:W3CDTF">2025-10-30T21:53:02Z</dcterms:modified>
</cp:coreProperties>
</file>