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95" yWindow="780" windowWidth="20115" windowHeight="14370"/>
  </bookViews>
  <sheets>
    <sheet name="Part 1" sheetId="1" r:id="rId1"/>
    <sheet name="Part 2" sheetId="2" r:id="rId2"/>
    <sheet name="Part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8" i="1" l="1"/>
  <c r="D98" i="1"/>
  <c r="B98" i="1"/>
  <c r="F97" i="1"/>
  <c r="D97" i="1"/>
  <c r="B97" i="1"/>
  <c r="F96" i="1"/>
  <c r="D96" i="1"/>
  <c r="B96" i="1"/>
  <c r="F95" i="1"/>
  <c r="D95" i="1"/>
  <c r="F94" i="1"/>
  <c r="D94" i="1"/>
  <c r="B94" i="1"/>
  <c r="B95" i="1"/>
  <c r="B92" i="1"/>
  <c r="F92" i="1"/>
  <c r="D92" i="1"/>
  <c r="F91" i="1"/>
  <c r="D91" i="1"/>
  <c r="B91" i="1"/>
  <c r="F90" i="1"/>
  <c r="D90" i="1"/>
  <c r="B90" i="1"/>
  <c r="F89" i="1"/>
  <c r="D89" i="1"/>
  <c r="B89" i="1"/>
  <c r="F88" i="1"/>
  <c r="D88" i="1"/>
  <c r="B88" i="1"/>
  <c r="F71" i="1"/>
  <c r="D71" i="1"/>
  <c r="B71" i="1"/>
  <c r="F69" i="1"/>
  <c r="D69" i="1"/>
  <c r="B69" i="1"/>
  <c r="F68" i="1"/>
  <c r="F70" i="1"/>
  <c r="D70" i="1"/>
  <c r="B70" i="1"/>
  <c r="D68" i="1"/>
  <c r="B68" i="1"/>
  <c r="F82" i="1"/>
  <c r="D82" i="1"/>
  <c r="B82" i="1"/>
  <c r="F80" i="1"/>
  <c r="F81" i="1" s="1"/>
  <c r="D80" i="1"/>
  <c r="D81" i="1" s="1"/>
  <c r="B81" i="1"/>
  <c r="B77" i="1"/>
  <c r="B80" i="1"/>
  <c r="F79" i="1"/>
  <c r="D79" i="1"/>
  <c r="F78" i="1"/>
  <c r="D78" i="1"/>
  <c r="B78" i="1"/>
  <c r="F77" i="1"/>
  <c r="D77" i="1"/>
  <c r="B79" i="1"/>
  <c r="F74" i="1"/>
  <c r="D74" i="1"/>
  <c r="B74" i="1"/>
  <c r="F62" i="1" l="1"/>
  <c r="B62" i="1"/>
  <c r="D62" i="1"/>
  <c r="F61" i="1"/>
  <c r="D61" i="1"/>
  <c r="B61" i="1"/>
  <c r="F58" i="1"/>
  <c r="D58" i="1"/>
  <c r="B58" i="1"/>
  <c r="F57" i="1"/>
  <c r="D57" i="1"/>
  <c r="F56" i="1"/>
  <c r="D56" i="1"/>
  <c r="B56" i="1"/>
  <c r="F53" i="1"/>
  <c r="F51" i="1"/>
  <c r="F52" i="1"/>
  <c r="D52" i="1"/>
  <c r="F39" i="1"/>
  <c r="D39" i="1"/>
  <c r="B39" i="1"/>
  <c r="B52" i="1" s="1"/>
  <c r="F38" i="1"/>
  <c r="D38" i="1"/>
  <c r="D51" i="1"/>
  <c r="B51" i="1"/>
  <c r="F48" i="1"/>
  <c r="D48" i="1"/>
  <c r="F47" i="1"/>
  <c r="D47" i="1"/>
  <c r="F46" i="1"/>
  <c r="D46" i="1"/>
  <c r="F45" i="1"/>
  <c r="D45" i="1"/>
  <c r="F44" i="1"/>
  <c r="D44" i="1"/>
  <c r="B44" i="1"/>
  <c r="F43" i="1"/>
  <c r="D43" i="1"/>
  <c r="B43" i="1"/>
  <c r="F42" i="1"/>
  <c r="D42" i="1"/>
  <c r="B42" i="1"/>
  <c r="F37" i="1"/>
  <c r="D37" i="1"/>
  <c r="F36" i="1"/>
  <c r="D36" i="1"/>
  <c r="F35" i="1"/>
  <c r="D35" i="1"/>
  <c r="B35" i="1"/>
  <c r="F34" i="1"/>
  <c r="D34" i="1"/>
  <c r="F31" i="1"/>
  <c r="D31" i="1"/>
  <c r="B31" i="1"/>
  <c r="F30" i="1"/>
  <c r="D30" i="1"/>
  <c r="B30" i="1"/>
  <c r="F27" i="1"/>
  <c r="D27" i="1"/>
  <c r="B27" i="1"/>
  <c r="D53" i="1" l="1"/>
  <c r="C36" i="3"/>
  <c r="B9" i="2"/>
  <c r="B13" i="3" l="1"/>
  <c r="B47" i="3" s="1"/>
  <c r="B14" i="3"/>
  <c r="B48" i="3" s="1"/>
  <c r="B15" i="3"/>
  <c r="B49" i="3" s="1"/>
  <c r="B16" i="3"/>
  <c r="B50" i="3" s="1"/>
  <c r="B17" i="3"/>
  <c r="B51" i="3" s="1"/>
  <c r="B12" i="3"/>
  <c r="B46" i="3" s="1"/>
  <c r="B10" i="3"/>
  <c r="B42" i="3" s="1"/>
  <c r="B7" i="3"/>
  <c r="B39" i="3" s="1"/>
  <c r="B8" i="3"/>
  <c r="B40" i="3" s="1"/>
  <c r="B9" i="3"/>
  <c r="B41" i="3" s="1"/>
  <c r="B6" i="3"/>
  <c r="B38" i="3" s="1"/>
  <c r="B13" i="2"/>
  <c r="B7" i="2"/>
  <c r="B6" i="2"/>
  <c r="A57" i="1"/>
  <c r="B47" i="1"/>
  <c r="B46" i="1"/>
  <c r="B45" i="1"/>
  <c r="B38" i="1"/>
  <c r="B36" i="1"/>
  <c r="B37" i="1"/>
  <c r="A38" i="1"/>
  <c r="A37" i="1"/>
  <c r="A36" i="1"/>
  <c r="A35" i="1"/>
  <c r="B34" i="1"/>
  <c r="B48" i="1" l="1"/>
  <c r="C43" i="3"/>
  <c r="C44" i="3" s="1"/>
  <c r="C52" i="3"/>
  <c r="B28" i="3"/>
  <c r="B10" i="2"/>
  <c r="B11" i="2" s="1"/>
  <c r="B14" i="2" s="1"/>
  <c r="B15" i="2" s="1"/>
  <c r="B57" i="1"/>
  <c r="C53" i="3" l="1"/>
  <c r="B53" i="1"/>
</calcChain>
</file>

<file path=xl/sharedStrings.xml><?xml version="1.0" encoding="utf-8"?>
<sst xmlns="http://schemas.openxmlformats.org/spreadsheetml/2006/main" count="135" uniqueCount="107">
  <si>
    <t>Ice per Snowie</t>
  </si>
  <si>
    <t>Spoon straw (need one per Snowie)</t>
  </si>
  <si>
    <t>Styrofoam cup (need one per Snowie)</t>
  </si>
  <si>
    <t>Napkin (need two per Snowie)</t>
  </si>
  <si>
    <t>Servings per gallon of syrup</t>
  </si>
  <si>
    <t>Cost per gallon of syrup (includes concentrate, preservative, and sugar)</t>
  </si>
  <si>
    <t>Hourly rate for workers</t>
  </si>
  <si>
    <t>Electricity, insurance, maintenance, and permit costs per month</t>
  </si>
  <si>
    <t>Data</t>
  </si>
  <si>
    <t>Syrup cost per Snowie (Cost per gallon / Servings per gallon of syrup)</t>
  </si>
  <si>
    <t>1. Assumptions (to be filled in):</t>
  </si>
  <si>
    <t>b. Number of hours you will work (no wages required) per day</t>
  </si>
  <si>
    <t>c. Number of hours you will pay an employee to work in the kiosk per day</t>
  </si>
  <si>
    <t>2. Cost of syrup per Snowie:</t>
  </si>
  <si>
    <t>3. Cost of worker wages per day and month:</t>
  </si>
  <si>
    <t>a. Cost per day (Hourly rate for workers x Number of hours you will pay an employee)</t>
  </si>
  <si>
    <t>b. Cost per month (Cost per day above x Number of days kiosk is open per month)</t>
  </si>
  <si>
    <t>4. Total variable cost per Snowie</t>
  </si>
  <si>
    <t>Cost of syrup per Snowie (from Question 2)</t>
  </si>
  <si>
    <t xml:space="preserve">    Total variable cost per Snowie</t>
  </si>
  <si>
    <t>5. Total fixed cost per month</t>
  </si>
  <si>
    <t>Event registration fee per day</t>
  </si>
  <si>
    <t>Kiosk rental cost per month (12-month lease)</t>
  </si>
  <si>
    <t>Kiosk rental cost per month</t>
  </si>
  <si>
    <t>Straight-line depreciation - ice shavers ($3,180 / 5 years / 12 months)</t>
  </si>
  <si>
    <t>Straight-line depreciation - flavor station ($1,080 / 5 years / 12 months)</t>
  </si>
  <si>
    <t>Purchase cost of two ice shavers (5-year life)</t>
  </si>
  <si>
    <t>Purchase cost of a flavor station (5-year life)</t>
  </si>
  <si>
    <t xml:space="preserve">    Total fixed cost per month</t>
  </si>
  <si>
    <t>6. Break even volume per month</t>
  </si>
  <si>
    <t>Total fixed costs</t>
  </si>
  <si>
    <t>Unit contribution margin (Selling price - Variable cost per Snowie)</t>
  </si>
  <si>
    <t>Selling price per large Snowie</t>
  </si>
  <si>
    <t xml:space="preserve">     Number of Frozen Dessert Business to be sold per month to break even</t>
  </si>
  <si>
    <t>7. Number of Frozen Dessert Business to be sold to earn target profit of $2,000 per month</t>
  </si>
  <si>
    <t>Total fixed costs plus target profit</t>
  </si>
  <si>
    <t xml:space="preserve">     Number of Frozen Dessert Business to be sold per month to earn target profit</t>
  </si>
  <si>
    <t>8. Answers will vary. Think about how many Frozen Dessert Business per day, per hour and if that is reasonable.</t>
  </si>
  <si>
    <t>Wages for workers for month</t>
  </si>
  <si>
    <t>a. Number of days you anticipate opening the kiosk per month</t>
  </si>
  <si>
    <t>Data (all from Part 1 except for new selling price and cup cost)</t>
  </si>
  <si>
    <t>Syrup cost per Snowie (from Part 1, Question 2)</t>
  </si>
  <si>
    <t xml:space="preserve">     Total variable cost per Snowie</t>
  </si>
  <si>
    <t>Variable costs for Octoberfest</t>
  </si>
  <si>
    <t>Sales revenue from Octoberfest (200 Frozen Dessert Business sold)</t>
  </si>
  <si>
    <t xml:space="preserve">     Total contribution margin - Octoberfest</t>
  </si>
  <si>
    <t>Part 2 Solution</t>
  </si>
  <si>
    <t>Part 1 Solution</t>
  </si>
  <si>
    <t>Requirements</t>
  </si>
  <si>
    <t>Part 3 Solution</t>
  </si>
  <si>
    <t>Data (all from Part 1 except for new selling price and syrup cost)</t>
  </si>
  <si>
    <t>For Month Ended July 31 (students may choose different months)</t>
  </si>
  <si>
    <t>Business Name (student answers will vary)</t>
  </si>
  <si>
    <t>Sales revenue</t>
  </si>
  <si>
    <t>d. Number of Frozen Dessert Business you estimate you will sell on an average day</t>
  </si>
  <si>
    <t>Less variable expenses:</t>
  </si>
  <si>
    <t xml:space="preserve">    Ice expense</t>
  </si>
  <si>
    <t xml:space="preserve">    Spoon straws</t>
  </si>
  <si>
    <t xml:space="preserve">    Styrofoam cups</t>
  </si>
  <si>
    <t xml:space="preserve">    Napkins</t>
  </si>
  <si>
    <t xml:space="preserve">    Syrup </t>
  </si>
  <si>
    <t>Total variable expenses</t>
  </si>
  <si>
    <t>Total contribution margin</t>
  </si>
  <si>
    <t>Less fixed expenses:</t>
  </si>
  <si>
    <t xml:space="preserve">    Wages for workers</t>
  </si>
  <si>
    <t xml:space="preserve">    Event registration fees</t>
  </si>
  <si>
    <t xml:space="preserve">    Kiosk rental cost</t>
  </si>
  <si>
    <t xml:space="preserve">    Depreciation - ice shavers</t>
  </si>
  <si>
    <t xml:space="preserve">    Depreciation - flavor station</t>
  </si>
  <si>
    <t>Total fixed expenses</t>
  </si>
  <si>
    <t>Operating income</t>
  </si>
  <si>
    <t>Note: Students may choose different numbers here in the highlighted cells.</t>
  </si>
  <si>
    <t>Event registration fee per day x number of days kiosk open</t>
  </si>
  <si>
    <t>2. Budgeted contribution margin income statement for one month. Student answers may/will vary.</t>
  </si>
  <si>
    <t xml:space="preserve">Number of Frozen Dessert Business to be sold per day </t>
  </si>
  <si>
    <t>Number of Frozen Dessert Business to be sold per hour</t>
  </si>
  <si>
    <t>Cost of syrup per Snowie (based on the new cost per gallon):</t>
  </si>
  <si>
    <t>Budgeted Contribution Margin Income Statement</t>
  </si>
  <si>
    <t>Please note that student answers will vary; this Excel file is provided to allow you to check student answers based on the student assumptions.</t>
  </si>
  <si>
    <t xml:space="preserve">    Electricity, insurance, maintenance, and permit costs</t>
  </si>
  <si>
    <t>During Day</t>
  </si>
  <si>
    <t>During evening</t>
  </si>
  <si>
    <t>Weekend</t>
  </si>
  <si>
    <t>Supplemental: Target Profit as a %</t>
  </si>
  <si>
    <t>Sales $ (@$4 per Snowie) to achieve $2K Target Profit</t>
  </si>
  <si>
    <t>Total Var Cost of Frozen Dessert Business (@$0.4718/showie)</t>
  </si>
  <si>
    <t>Total Contribution Margin</t>
  </si>
  <si>
    <t>Total Fixed Costs</t>
  </si>
  <si>
    <t>Contribution Margin Income Statement at Target Profit of $2,000</t>
  </si>
  <si>
    <t>Operating Profit</t>
  </si>
  <si>
    <t># of Frozen Dessert Business to be sold / mo to achieve Target Profit of $2,000 (from above, rounded)</t>
  </si>
  <si>
    <t>Operating Profit %</t>
  </si>
  <si>
    <t>(Planned Revenue - Breakeven Revenue) / Planned Revenue</t>
  </si>
  <si>
    <t>Planned Revenue</t>
  </si>
  <si>
    <t>Margin of Safety: (At Target Profit of $2,000)</t>
  </si>
  <si>
    <t>Breakeven Revenue</t>
  </si>
  <si>
    <t>Difference</t>
  </si>
  <si>
    <t>MOS%: (% Planned Rev would have to decrease to reach Breakeven Sales)</t>
  </si>
  <si>
    <t>If Target Profit goal is presented as a %, not as a $ amount, say 20%, then:</t>
  </si>
  <si>
    <t>Formula is:  Total Fixed Cost / (CM% - TP%); Sales level to achieve 20% Op Profit</t>
  </si>
  <si>
    <t>CM $ ($4 - $04718)</t>
  </si>
  <si>
    <t>CM%: (CM: $3.53 / SP: $4.00)</t>
  </si>
  <si>
    <t>CM% - TP % (20%) =</t>
  </si>
  <si>
    <t>Total Fixed Costs / (CM%-TP%) =  Revenue $ to achieve TP %</t>
  </si>
  <si>
    <t>Total Variable Costs</t>
  </si>
  <si>
    <t>Proof:</t>
  </si>
  <si>
    <t>Contribution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</si>
</sst>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00_);[Red]\(&quot;$&quot;#,##0.0000\)"/>
    <numFmt numFmtId="165" formatCode="_(* #,##0.0000_);_(* \(#,##0.0000\);_(* &quot;-&quot;??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(&quot;$&quot;* #,##0.0000_);_(&quot;$&quot;* \(#,##0.0000\);_(&quot;$&quot;* &quot;-&quot;??_);_(@_)"/>
    <numFmt numFmtId="170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44" fontId="0" fillId="0" borderId="0" xfId="0" applyNumberFormat="1"/>
    <xf numFmtId="0" fontId="3" fillId="0" borderId="0" xfId="0" applyFont="1"/>
    <xf numFmtId="43" fontId="3" fillId="0" borderId="0" xfId="1" applyFont="1"/>
    <xf numFmtId="0" fontId="4" fillId="0" borderId="0" xfId="0" applyFont="1"/>
    <xf numFmtId="0" fontId="5" fillId="0" borderId="0" xfId="0" applyFont="1"/>
    <xf numFmtId="8" fontId="3" fillId="0" borderId="0" xfId="0" applyNumberFormat="1" applyFont="1"/>
    <xf numFmtId="1" fontId="3" fillId="0" borderId="0" xfId="0" applyNumberFormat="1" applyFont="1"/>
    <xf numFmtId="44" fontId="6" fillId="0" borderId="1" xfId="2" applyFont="1" applyBorder="1"/>
    <xf numFmtId="166" fontId="6" fillId="0" borderId="1" xfId="1" applyNumberFormat="1" applyFont="1" applyBorder="1"/>
    <xf numFmtId="164" fontId="6" fillId="0" borderId="1" xfId="0" applyNumberFormat="1" applyFont="1" applyBorder="1"/>
    <xf numFmtId="44" fontId="6" fillId="0" borderId="1" xfId="0" applyNumberFormat="1" applyFont="1" applyBorder="1"/>
    <xf numFmtId="168" fontId="6" fillId="0" borderId="1" xfId="2" applyNumberFormat="1" applyFont="1" applyBorder="1"/>
    <xf numFmtId="168" fontId="6" fillId="0" borderId="1" xfId="0" applyNumberFormat="1" applyFont="1" applyBorder="1"/>
    <xf numFmtId="0" fontId="6" fillId="2" borderId="1" xfId="0" applyFont="1" applyFill="1" applyBorder="1"/>
    <xf numFmtId="43" fontId="6" fillId="0" borderId="1" xfId="1" applyFont="1" applyBorder="1"/>
    <xf numFmtId="0" fontId="7" fillId="0" borderId="0" xfId="0" applyFont="1"/>
    <xf numFmtId="0" fontId="8" fillId="0" borderId="0" xfId="0" applyFont="1"/>
    <xf numFmtId="8" fontId="8" fillId="0" borderId="0" xfId="0" applyNumberFormat="1" applyFont="1"/>
    <xf numFmtId="44" fontId="9" fillId="0" borderId="1" xfId="2" applyFont="1" applyBorder="1"/>
    <xf numFmtId="0" fontId="10" fillId="0" borderId="0" xfId="0" applyFont="1"/>
    <xf numFmtId="166" fontId="9" fillId="0" borderId="1" xfId="1" applyNumberFormat="1" applyFont="1" applyBorder="1"/>
    <xf numFmtId="8" fontId="10" fillId="0" borderId="0" xfId="0" applyNumberFormat="1" applyFont="1"/>
    <xf numFmtId="0" fontId="9" fillId="2" borderId="1" xfId="0" applyFont="1" applyFill="1" applyBorder="1"/>
    <xf numFmtId="0" fontId="9" fillId="2" borderId="2" xfId="0" applyFont="1" applyFill="1" applyBorder="1"/>
    <xf numFmtId="0" fontId="10" fillId="0" borderId="3" xfId="0" applyFont="1" applyBorder="1" applyAlignment="1">
      <alignment horizontal="center"/>
    </xf>
    <xf numFmtId="0" fontId="0" fillId="3" borderId="0" xfId="0" applyFill="1"/>
    <xf numFmtId="0" fontId="3" fillId="0" borderId="0" xfId="0" applyFont="1" applyAlignment="1">
      <alignment horizontal="center"/>
    </xf>
    <xf numFmtId="164" fontId="12" fillId="0" borderId="1" xfId="0" applyNumberFormat="1" applyFont="1" applyBorder="1"/>
    <xf numFmtId="0" fontId="11" fillId="0" borderId="0" xfId="0" applyFont="1"/>
    <xf numFmtId="8" fontId="13" fillId="0" borderId="0" xfId="0" applyNumberFormat="1" applyFont="1"/>
    <xf numFmtId="0" fontId="13" fillId="0" borderId="0" xfId="0" applyFont="1"/>
    <xf numFmtId="167" fontId="12" fillId="0" borderId="1" xfId="2" applyNumberFormat="1" applyFont="1" applyBorder="1"/>
    <xf numFmtId="165" fontId="12" fillId="0" borderId="1" xfId="1" applyNumberFormat="1" applyFont="1" applyBorder="1"/>
    <xf numFmtId="167" fontId="12" fillId="0" borderId="1" xfId="0" applyNumberFormat="1" applyFont="1" applyBorder="1"/>
    <xf numFmtId="44" fontId="12" fillId="0" borderId="1" xfId="2" applyFont="1" applyBorder="1"/>
    <xf numFmtId="44" fontId="12" fillId="0" borderId="2" xfId="0" applyNumberFormat="1" applyFont="1" applyBorder="1"/>
    <xf numFmtId="44" fontId="12" fillId="0" borderId="1" xfId="0" applyNumberFormat="1" applyFont="1" applyBorder="1"/>
    <xf numFmtId="8" fontId="12" fillId="0" borderId="1" xfId="0" applyNumberFormat="1" applyFont="1" applyBorder="1"/>
    <xf numFmtId="166" fontId="12" fillId="0" borderId="1" xfId="1" applyNumberFormat="1" applyFont="1" applyBorder="1" applyAlignment="1">
      <alignment horizontal="left" indent="2"/>
    </xf>
    <xf numFmtId="166" fontId="12" fillId="0" borderId="1" xfId="0" applyNumberFormat="1" applyFont="1" applyBorder="1"/>
    <xf numFmtId="43" fontId="11" fillId="0" borderId="0" xfId="0" applyNumberFormat="1" applyFont="1"/>
    <xf numFmtId="0" fontId="14" fillId="0" borderId="0" xfId="0" applyFont="1"/>
    <xf numFmtId="44" fontId="12" fillId="0" borderId="1" xfId="2" applyFont="1" applyBorder="1" applyAlignment="1">
      <alignment horizontal="left" indent="2"/>
    </xf>
    <xf numFmtId="44" fontId="12" fillId="0" borderId="0" xfId="2" applyFont="1" applyBorder="1" applyAlignment="1">
      <alignment horizontal="left" indent="2"/>
    </xf>
    <xf numFmtId="166" fontId="12" fillId="0" borderId="0" xfId="1" applyNumberFormat="1" applyFont="1" applyBorder="1" applyAlignment="1">
      <alignment horizontal="left" indent="2"/>
    </xf>
    <xf numFmtId="0" fontId="0" fillId="0" borderId="0" xfId="0" applyBorder="1"/>
    <xf numFmtId="44" fontId="12" fillId="0" borderId="4" xfId="2" applyFont="1" applyBorder="1" applyAlignment="1">
      <alignment horizontal="left" indent="2"/>
    </xf>
    <xf numFmtId="0" fontId="15" fillId="0" borderId="0" xfId="0" applyFont="1"/>
    <xf numFmtId="44" fontId="12" fillId="0" borderId="5" xfId="2" applyFont="1" applyBorder="1" applyAlignment="1">
      <alignment horizontal="left" indent="2"/>
    </xf>
    <xf numFmtId="170" fontId="16" fillId="0" borderId="0" xfId="3" applyNumberFormat="1" applyFont="1"/>
    <xf numFmtId="170" fontId="17" fillId="0" borderId="0" xfId="3" applyNumberFormat="1" applyFont="1"/>
    <xf numFmtId="0" fontId="0" fillId="0" borderId="3" xfId="0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topLeftCell="A74" workbookViewId="0">
      <selection activeCell="A99" sqref="A99"/>
    </sheetView>
  </sheetViews>
  <sheetFormatPr defaultRowHeight="15" x14ac:dyDescent="0.25"/>
  <cols>
    <col min="1" max="1" width="78" customWidth="1"/>
    <col min="2" max="2" width="22.7109375" customWidth="1"/>
    <col min="3" max="3" width="5.7109375" customWidth="1"/>
    <col min="4" max="4" width="22.7109375" customWidth="1"/>
    <col min="5" max="5" width="5.7109375" customWidth="1"/>
    <col min="6" max="6" width="22.7109375" customWidth="1"/>
  </cols>
  <sheetData>
    <row r="1" spans="1:2" x14ac:dyDescent="0.25">
      <c r="A1" s="1" t="s">
        <v>47</v>
      </c>
    </row>
    <row r="3" spans="1:2" ht="15.75" thickBot="1" x14ac:dyDescent="0.3">
      <c r="A3" s="1" t="s">
        <v>8</v>
      </c>
    </row>
    <row r="4" spans="1:2" ht="19.5" thickBot="1" x14ac:dyDescent="0.35">
      <c r="A4" t="s">
        <v>32</v>
      </c>
      <c r="B4" s="20">
        <v>4</v>
      </c>
    </row>
    <row r="5" spans="1:2" ht="19.5" thickBot="1" x14ac:dyDescent="0.35">
      <c r="A5" s="1"/>
      <c r="B5" s="21"/>
    </row>
    <row r="6" spans="1:2" ht="19.5" thickBot="1" x14ac:dyDescent="0.35">
      <c r="A6" t="s">
        <v>0</v>
      </c>
      <c r="B6" s="20">
        <v>0.2</v>
      </c>
    </row>
    <row r="7" spans="1:2" ht="19.5" thickBot="1" x14ac:dyDescent="0.35">
      <c r="A7" t="s">
        <v>1</v>
      </c>
      <c r="B7" s="20">
        <v>0.02</v>
      </c>
    </row>
    <row r="8" spans="1:2" ht="19.5" thickBot="1" x14ac:dyDescent="0.35">
      <c r="A8" t="s">
        <v>2</v>
      </c>
      <c r="B8" s="20">
        <v>0.08</v>
      </c>
    </row>
    <row r="9" spans="1:2" ht="19.5" thickBot="1" x14ac:dyDescent="0.35">
      <c r="A9" t="s">
        <v>3</v>
      </c>
      <c r="B9" s="20">
        <v>0.01</v>
      </c>
    </row>
    <row r="10" spans="1:2" ht="19.5" thickBot="1" x14ac:dyDescent="0.35">
      <c r="A10" t="s">
        <v>4</v>
      </c>
      <c r="B10" s="22">
        <v>28</v>
      </c>
    </row>
    <row r="11" spans="1:2" ht="19.5" thickBot="1" x14ac:dyDescent="0.35">
      <c r="A11" t="s">
        <v>5</v>
      </c>
      <c r="B11" s="20">
        <v>4.25</v>
      </c>
    </row>
    <row r="12" spans="1:2" ht="19.5" thickBot="1" x14ac:dyDescent="0.35">
      <c r="A12" t="s">
        <v>6</v>
      </c>
      <c r="B12" s="20">
        <v>10</v>
      </c>
    </row>
    <row r="13" spans="1:2" ht="19.5" thickBot="1" x14ac:dyDescent="0.35">
      <c r="A13" t="s">
        <v>21</v>
      </c>
      <c r="B13" s="20">
        <v>25</v>
      </c>
    </row>
    <row r="14" spans="1:2" ht="19.5" thickBot="1" x14ac:dyDescent="0.35">
      <c r="A14" t="s">
        <v>7</v>
      </c>
      <c r="B14" s="20">
        <v>250</v>
      </c>
    </row>
    <row r="15" spans="1:2" ht="19.5" thickBot="1" x14ac:dyDescent="0.35">
      <c r="A15" t="s">
        <v>22</v>
      </c>
      <c r="B15" s="20">
        <v>650</v>
      </c>
    </row>
    <row r="16" spans="1:2" ht="19.5" thickBot="1" x14ac:dyDescent="0.35">
      <c r="A16" t="s">
        <v>26</v>
      </c>
      <c r="B16" s="20">
        <v>3180</v>
      </c>
    </row>
    <row r="17" spans="1:7" ht="19.5" thickBot="1" x14ac:dyDescent="0.35">
      <c r="A17" t="s">
        <v>27</v>
      </c>
      <c r="B17" s="20">
        <v>1080</v>
      </c>
    </row>
    <row r="18" spans="1:7" ht="18.75" x14ac:dyDescent="0.3">
      <c r="B18" s="23"/>
    </row>
    <row r="19" spans="1:7" ht="18.75" x14ac:dyDescent="0.3">
      <c r="A19" s="1" t="s">
        <v>48</v>
      </c>
      <c r="B19" s="21"/>
    </row>
    <row r="20" spans="1:7" ht="18.75" x14ac:dyDescent="0.3">
      <c r="B20" s="21"/>
    </row>
    <row r="21" spans="1:7" ht="18.75" x14ac:dyDescent="0.3">
      <c r="A21" s="1" t="s">
        <v>10</v>
      </c>
      <c r="B21" s="26" t="s">
        <v>80</v>
      </c>
      <c r="D21" s="26" t="s">
        <v>81</v>
      </c>
      <c r="F21" s="26" t="s">
        <v>82</v>
      </c>
    </row>
    <row r="22" spans="1:7" ht="19.5" thickBot="1" x14ac:dyDescent="0.35">
      <c r="A22" t="s">
        <v>39</v>
      </c>
      <c r="B22" s="25">
        <v>20</v>
      </c>
      <c r="D22" s="25">
        <v>20</v>
      </c>
      <c r="F22" s="25">
        <v>8</v>
      </c>
    </row>
    <row r="23" spans="1:7" ht="19.5" thickBot="1" x14ac:dyDescent="0.35">
      <c r="A23" t="s">
        <v>11</v>
      </c>
      <c r="B23" s="24">
        <v>8</v>
      </c>
      <c r="D23" s="24">
        <v>4</v>
      </c>
      <c r="F23" s="24">
        <v>8</v>
      </c>
    </row>
    <row r="24" spans="1:7" ht="19.5" thickBot="1" x14ac:dyDescent="0.35">
      <c r="A24" t="s">
        <v>12</v>
      </c>
      <c r="B24" s="24">
        <v>8</v>
      </c>
      <c r="D24" s="24">
        <v>4</v>
      </c>
      <c r="F24" s="24">
        <v>8</v>
      </c>
    </row>
    <row r="25" spans="1:7" ht="18.75" x14ac:dyDescent="0.3">
      <c r="B25" s="18"/>
    </row>
    <row r="26" spans="1:7" ht="19.5" thickBot="1" x14ac:dyDescent="0.35">
      <c r="A26" s="1" t="s">
        <v>13</v>
      </c>
      <c r="B26" s="19"/>
    </row>
    <row r="27" spans="1:7" ht="19.5" thickBot="1" x14ac:dyDescent="0.35">
      <c r="A27" t="s">
        <v>9</v>
      </c>
      <c r="B27" s="29">
        <f>+B11/B10</f>
        <v>0.15178571428571427</v>
      </c>
      <c r="C27" s="30"/>
      <c r="D27" s="29">
        <f>B11/B10</f>
        <v>0.15178571428571427</v>
      </c>
      <c r="E27" s="30"/>
      <c r="F27" s="29">
        <f>B11/B10</f>
        <v>0.15178571428571427</v>
      </c>
      <c r="G27" s="27"/>
    </row>
    <row r="28" spans="1:7" ht="18.75" x14ac:dyDescent="0.3">
      <c r="B28" s="31"/>
      <c r="C28" s="30"/>
      <c r="D28" s="30"/>
      <c r="E28" s="30"/>
      <c r="F28" s="30"/>
    </row>
    <row r="29" spans="1:7" ht="19.5" thickBot="1" x14ac:dyDescent="0.35">
      <c r="A29" s="1" t="s">
        <v>14</v>
      </c>
      <c r="B29" s="32"/>
      <c r="C29" s="30"/>
      <c r="D29" s="30"/>
      <c r="E29" s="30"/>
      <c r="F29" s="30"/>
    </row>
    <row r="30" spans="1:7" ht="19.5" thickBot="1" x14ac:dyDescent="0.35">
      <c r="A30" t="s">
        <v>15</v>
      </c>
      <c r="B30" s="33">
        <f>+B12*B24</f>
        <v>80</v>
      </c>
      <c r="C30" s="30"/>
      <c r="D30" s="33">
        <f>D24*B12</f>
        <v>40</v>
      </c>
      <c r="E30" s="30"/>
      <c r="F30" s="33">
        <f>B12*F24</f>
        <v>80</v>
      </c>
      <c r="G30" s="27"/>
    </row>
    <row r="31" spans="1:7" ht="19.5" thickBot="1" x14ac:dyDescent="0.35">
      <c r="A31" t="s">
        <v>16</v>
      </c>
      <c r="B31" s="33">
        <f>+B30*B22</f>
        <v>1600</v>
      </c>
      <c r="C31" s="30"/>
      <c r="D31" s="33">
        <f>D22*D30</f>
        <v>800</v>
      </c>
      <c r="E31" s="30"/>
      <c r="F31" s="33">
        <f>F22*F30</f>
        <v>640</v>
      </c>
      <c r="G31" s="27"/>
    </row>
    <row r="32" spans="1:7" ht="18.75" x14ac:dyDescent="0.3">
      <c r="B32" s="32"/>
      <c r="C32" s="30"/>
      <c r="D32" s="30"/>
      <c r="E32" s="30"/>
      <c r="F32" s="30"/>
    </row>
    <row r="33" spans="1:7" ht="19.5" thickBot="1" x14ac:dyDescent="0.35">
      <c r="A33" s="1" t="s">
        <v>17</v>
      </c>
      <c r="B33" s="32"/>
      <c r="C33" s="30"/>
      <c r="D33" s="30"/>
      <c r="E33" s="30"/>
      <c r="F33" s="30"/>
    </row>
    <row r="34" spans="1:7" ht="19.5" thickBot="1" x14ac:dyDescent="0.35">
      <c r="A34" t="s">
        <v>18</v>
      </c>
      <c r="B34" s="29">
        <f>+B27</f>
        <v>0.15178571428571427</v>
      </c>
      <c r="C34" s="30"/>
      <c r="D34" s="29">
        <f>D27</f>
        <v>0.15178571428571427</v>
      </c>
      <c r="E34" s="30"/>
      <c r="F34" s="29">
        <f>F27</f>
        <v>0.15178571428571427</v>
      </c>
      <c r="G34" s="27"/>
    </row>
    <row r="35" spans="1:7" ht="19.5" thickBot="1" x14ac:dyDescent="0.35">
      <c r="A35" t="str">
        <f>+A6</f>
        <v>Ice per Snowie</v>
      </c>
      <c r="B35" s="34">
        <f>+B6</f>
        <v>0.2</v>
      </c>
      <c r="C35" s="30"/>
      <c r="D35" s="34">
        <f>B6</f>
        <v>0.2</v>
      </c>
      <c r="E35" s="30"/>
      <c r="F35" s="34">
        <f>B6</f>
        <v>0.2</v>
      </c>
      <c r="G35" s="27"/>
    </row>
    <row r="36" spans="1:7" ht="19.5" thickBot="1" x14ac:dyDescent="0.35">
      <c r="A36" t="str">
        <f>+A7</f>
        <v>Spoon straw (need one per Snowie)</v>
      </c>
      <c r="B36" s="34">
        <f t="shared" ref="B36:B37" si="0">+B7</f>
        <v>0.02</v>
      </c>
      <c r="C36" s="30"/>
      <c r="D36" s="34">
        <f>B7</f>
        <v>0.02</v>
      </c>
      <c r="E36" s="30"/>
      <c r="F36" s="34">
        <f>B7</f>
        <v>0.02</v>
      </c>
      <c r="G36" s="27"/>
    </row>
    <row r="37" spans="1:7" ht="19.5" thickBot="1" x14ac:dyDescent="0.35">
      <c r="A37" t="str">
        <f>+A8</f>
        <v>Styrofoam cup (need one per Snowie)</v>
      </c>
      <c r="B37" s="34">
        <f t="shared" si="0"/>
        <v>0.08</v>
      </c>
      <c r="C37" s="30"/>
      <c r="D37" s="34">
        <f>B8</f>
        <v>0.08</v>
      </c>
      <c r="E37" s="30"/>
      <c r="F37" s="34">
        <f>B8</f>
        <v>0.08</v>
      </c>
      <c r="G37" s="27"/>
    </row>
    <row r="38" spans="1:7" ht="19.5" thickBot="1" x14ac:dyDescent="0.35">
      <c r="A38" t="str">
        <f>+A9</f>
        <v>Napkin (need two per Snowie)</v>
      </c>
      <c r="B38" s="34">
        <f>+B9*2</f>
        <v>0.02</v>
      </c>
      <c r="C38" s="30"/>
      <c r="D38" s="34">
        <f>B9*2</f>
        <v>0.02</v>
      </c>
      <c r="E38" s="30"/>
      <c r="F38" s="34">
        <f>B9*2</f>
        <v>0.02</v>
      </c>
      <c r="G38" s="27"/>
    </row>
    <row r="39" spans="1:7" ht="19.5" thickBot="1" x14ac:dyDescent="0.35">
      <c r="A39" t="s">
        <v>19</v>
      </c>
      <c r="B39" s="29">
        <f>SUM(B34:B38)</f>
        <v>0.47178571428571431</v>
      </c>
      <c r="C39" s="30"/>
      <c r="D39" s="29">
        <f>SUM(D34:D38)</f>
        <v>0.47178571428571431</v>
      </c>
      <c r="E39" s="30"/>
      <c r="F39" s="29">
        <f>SUM(F34:F38)</f>
        <v>0.47178571428571431</v>
      </c>
      <c r="G39" s="27"/>
    </row>
    <row r="40" spans="1:7" ht="18.75" x14ac:dyDescent="0.3">
      <c r="B40" s="32"/>
      <c r="C40" s="30"/>
      <c r="D40" s="30"/>
      <c r="E40" s="30"/>
      <c r="F40" s="30"/>
    </row>
    <row r="41" spans="1:7" ht="19.5" thickBot="1" x14ac:dyDescent="0.35">
      <c r="A41" s="1" t="s">
        <v>20</v>
      </c>
      <c r="B41" s="32"/>
      <c r="C41" s="30"/>
      <c r="D41" s="30"/>
      <c r="E41" s="30"/>
      <c r="F41" s="30"/>
    </row>
    <row r="42" spans="1:7" ht="19.5" thickBot="1" x14ac:dyDescent="0.35">
      <c r="A42" t="s">
        <v>38</v>
      </c>
      <c r="B42" s="35">
        <f>+B31</f>
        <v>1600</v>
      </c>
      <c r="C42" s="30"/>
      <c r="D42" s="35">
        <f>+D31</f>
        <v>800</v>
      </c>
      <c r="E42" s="30"/>
      <c r="F42" s="35">
        <f>+F31</f>
        <v>640</v>
      </c>
      <c r="G42" s="27"/>
    </row>
    <row r="43" spans="1:7" ht="19.5" thickBot="1" x14ac:dyDescent="0.35">
      <c r="A43" t="s">
        <v>72</v>
      </c>
      <c r="B43" s="36">
        <f>+B22*B13</f>
        <v>500</v>
      </c>
      <c r="C43" s="30"/>
      <c r="D43" s="36">
        <f>B13*D22</f>
        <v>500</v>
      </c>
      <c r="E43" s="30"/>
      <c r="F43" s="36">
        <f>F22*B13</f>
        <v>200</v>
      </c>
      <c r="G43" s="27"/>
    </row>
    <row r="44" spans="1:7" ht="19.5" thickBot="1" x14ac:dyDescent="0.35">
      <c r="A44" t="s">
        <v>7</v>
      </c>
      <c r="B44" s="36">
        <f>B14</f>
        <v>250</v>
      </c>
      <c r="C44" s="30"/>
      <c r="D44" s="36">
        <f>B14</f>
        <v>250</v>
      </c>
      <c r="E44" s="30"/>
      <c r="F44" s="36">
        <f>B14</f>
        <v>250</v>
      </c>
      <c r="G44" s="27"/>
    </row>
    <row r="45" spans="1:7" ht="19.5" thickBot="1" x14ac:dyDescent="0.35">
      <c r="A45" t="s">
        <v>23</v>
      </c>
      <c r="B45" s="36">
        <f>+B15</f>
        <v>650</v>
      </c>
      <c r="C45" s="30"/>
      <c r="D45" s="36">
        <f>B15</f>
        <v>650</v>
      </c>
      <c r="E45" s="30"/>
      <c r="F45" s="36">
        <f>B15</f>
        <v>650</v>
      </c>
      <c r="G45" s="27"/>
    </row>
    <row r="46" spans="1:7" ht="19.5" thickBot="1" x14ac:dyDescent="0.35">
      <c r="A46" t="s">
        <v>24</v>
      </c>
      <c r="B46" s="36">
        <f>+B16/5/12</f>
        <v>53</v>
      </c>
      <c r="C46" s="30"/>
      <c r="D46" s="36">
        <f>B16/5/12</f>
        <v>53</v>
      </c>
      <c r="E46" s="30"/>
      <c r="F46" s="36">
        <f>B16/5/12</f>
        <v>53</v>
      </c>
      <c r="G46" s="27"/>
    </row>
    <row r="47" spans="1:7" ht="19.5" thickBot="1" x14ac:dyDescent="0.35">
      <c r="A47" t="s">
        <v>25</v>
      </c>
      <c r="B47" s="36">
        <f>+B17/5/12</f>
        <v>18</v>
      </c>
      <c r="C47" s="30"/>
      <c r="D47" s="36">
        <f>B17/5/12</f>
        <v>18</v>
      </c>
      <c r="E47" s="30"/>
      <c r="F47" s="36">
        <f>B17/5/12</f>
        <v>18</v>
      </c>
      <c r="G47" s="27"/>
    </row>
    <row r="48" spans="1:7" ht="19.5" thickBot="1" x14ac:dyDescent="0.35">
      <c r="A48" t="s">
        <v>28</v>
      </c>
      <c r="B48" s="37">
        <f>SUM(B42:B47)</f>
        <v>3071</v>
      </c>
      <c r="C48" s="30"/>
      <c r="D48" s="37">
        <f>SUM(D42:D47)</f>
        <v>2271</v>
      </c>
      <c r="E48" s="30"/>
      <c r="F48" s="37">
        <f>SUM(F42:F47)</f>
        <v>1811</v>
      </c>
      <c r="G48" s="27"/>
    </row>
    <row r="49" spans="1:7" ht="18.75" x14ac:dyDescent="0.3">
      <c r="B49" s="32"/>
      <c r="C49" s="30"/>
      <c r="D49" s="30"/>
      <c r="E49" s="30"/>
      <c r="F49" s="30"/>
    </row>
    <row r="50" spans="1:7" ht="19.5" thickBot="1" x14ac:dyDescent="0.35">
      <c r="A50" s="1" t="s">
        <v>29</v>
      </c>
      <c r="B50" s="32"/>
      <c r="C50" s="30"/>
      <c r="D50" s="30"/>
      <c r="E50" s="30"/>
      <c r="F50" s="30"/>
    </row>
    <row r="51" spans="1:7" ht="19.5" thickBot="1" x14ac:dyDescent="0.35">
      <c r="A51" t="s">
        <v>30</v>
      </c>
      <c r="B51" s="38">
        <f>+B48</f>
        <v>3071</v>
      </c>
      <c r="C51" s="30"/>
      <c r="D51" s="38">
        <f>+D48</f>
        <v>2271</v>
      </c>
      <c r="E51" s="30"/>
      <c r="F51" s="38">
        <f>F48</f>
        <v>1811</v>
      </c>
      <c r="G51" s="27"/>
    </row>
    <row r="52" spans="1:7" ht="19.5" thickBot="1" x14ac:dyDescent="0.35">
      <c r="A52" t="s">
        <v>31</v>
      </c>
      <c r="B52" s="39">
        <f>+B4-B39</f>
        <v>3.5282142857142857</v>
      </c>
      <c r="C52" s="30"/>
      <c r="D52" s="39">
        <f>B4-D39</f>
        <v>3.5282142857142857</v>
      </c>
      <c r="E52" s="30"/>
      <c r="F52" s="39">
        <f>B4-F39</f>
        <v>3.5282142857142857</v>
      </c>
      <c r="G52" s="27"/>
    </row>
    <row r="53" spans="1:7" ht="19.5" thickBot="1" x14ac:dyDescent="0.35">
      <c r="A53" t="s">
        <v>33</v>
      </c>
      <c r="B53" s="40">
        <f>ROUNDUP(B51/B52,0)</f>
        <v>871</v>
      </c>
      <c r="C53" s="30"/>
      <c r="D53" s="40">
        <f>ROUNDUP(D51/D52,0)</f>
        <v>644</v>
      </c>
      <c r="E53" s="30"/>
      <c r="F53" s="40">
        <f>F51/F52</f>
        <v>513.29081890879638</v>
      </c>
      <c r="G53" s="27"/>
    </row>
    <row r="54" spans="1:7" ht="18.75" x14ac:dyDescent="0.3">
      <c r="B54" s="32"/>
      <c r="C54" s="30"/>
      <c r="D54" s="30"/>
      <c r="E54" s="30"/>
      <c r="F54" s="30"/>
    </row>
    <row r="55" spans="1:7" ht="19.5" thickBot="1" x14ac:dyDescent="0.35">
      <c r="A55" s="1" t="s">
        <v>34</v>
      </c>
      <c r="B55" s="32"/>
      <c r="C55" s="30"/>
      <c r="D55" s="30"/>
      <c r="E55" s="30"/>
      <c r="F55" s="30"/>
    </row>
    <row r="56" spans="1:7" ht="19.5" thickBot="1" x14ac:dyDescent="0.35">
      <c r="A56" t="s">
        <v>35</v>
      </c>
      <c r="B56" s="38">
        <f>+B51+2000</f>
        <v>5071</v>
      </c>
      <c r="C56" s="30"/>
      <c r="D56" s="38">
        <f>+D51+2000</f>
        <v>4271</v>
      </c>
      <c r="E56" s="30"/>
      <c r="F56" s="38">
        <f>+F51+2000</f>
        <v>3811</v>
      </c>
      <c r="G56" s="27"/>
    </row>
    <row r="57" spans="1:7" ht="19.5" thickBot="1" x14ac:dyDescent="0.35">
      <c r="A57" t="str">
        <f>+A52</f>
        <v>Unit contribution margin (Selling price - Variable cost per Snowie)</v>
      </c>
      <c r="B57" s="39">
        <f>+B52</f>
        <v>3.5282142857142857</v>
      </c>
      <c r="C57" s="30"/>
      <c r="D57" s="39">
        <f>D52</f>
        <v>3.5282142857142857</v>
      </c>
      <c r="E57" s="30"/>
      <c r="F57" s="39">
        <f>F52</f>
        <v>3.5282142857142857</v>
      </c>
      <c r="G57" s="27"/>
    </row>
    <row r="58" spans="1:7" ht="19.5" thickBot="1" x14ac:dyDescent="0.35">
      <c r="A58" t="s">
        <v>36</v>
      </c>
      <c r="B58" s="40">
        <f>ROUNDUP(B56/B57,0)</f>
        <v>1438</v>
      </c>
      <c r="C58" s="30"/>
      <c r="D58" s="40">
        <f>ROUNDUP(D56/D57,0)</f>
        <v>1211</v>
      </c>
      <c r="E58" s="30"/>
      <c r="F58" s="40">
        <f>ROUNDUP(F56/F57,0)</f>
        <v>1081</v>
      </c>
      <c r="G58" s="27"/>
    </row>
    <row r="59" spans="1:7" ht="18.75" x14ac:dyDescent="0.3">
      <c r="B59" s="32"/>
      <c r="C59" s="30"/>
      <c r="D59" s="30"/>
      <c r="E59" s="30"/>
      <c r="F59" s="30"/>
    </row>
    <row r="60" spans="1:7" ht="19.5" thickBot="1" x14ac:dyDescent="0.35">
      <c r="A60" s="1" t="s">
        <v>37</v>
      </c>
      <c r="B60" s="32"/>
      <c r="C60" s="30"/>
      <c r="D60" s="30"/>
      <c r="E60" s="30"/>
      <c r="F60" s="30"/>
    </row>
    <row r="61" spans="1:7" ht="19.5" thickBot="1" x14ac:dyDescent="0.35">
      <c r="A61" s="3" t="s">
        <v>74</v>
      </c>
      <c r="B61" s="41">
        <f>ROUNDUP(B58/B22,0)</f>
        <v>72</v>
      </c>
      <c r="C61" s="42"/>
      <c r="D61" s="41">
        <f>ROUNDUP(D58/D22,0)</f>
        <v>61</v>
      </c>
      <c r="E61" s="30"/>
      <c r="F61" s="41">
        <f>ROUNDUP(F58/F22,0)</f>
        <v>136</v>
      </c>
      <c r="G61" s="27"/>
    </row>
    <row r="62" spans="1:7" ht="19.5" thickBot="1" x14ac:dyDescent="0.35">
      <c r="A62" s="3" t="s">
        <v>75</v>
      </c>
      <c r="B62" s="41">
        <f>ROUNDUP(B61/B23,0)</f>
        <v>9</v>
      </c>
      <c r="C62" s="30"/>
      <c r="D62" s="41">
        <f>ROUNDUP(D61/D23,0)</f>
        <v>16</v>
      </c>
      <c r="E62" s="30"/>
      <c r="F62" s="41">
        <f>ROUNDUP(F61/F23,0)</f>
        <v>17</v>
      </c>
      <c r="G62" s="27"/>
    </row>
    <row r="64" spans="1:7" x14ac:dyDescent="0.25">
      <c r="A64" s="5" t="s">
        <v>78</v>
      </c>
    </row>
    <row r="66" spans="1:6" x14ac:dyDescent="0.25">
      <c r="A66" t="s">
        <v>94</v>
      </c>
    </row>
    <row r="67" spans="1:6" x14ac:dyDescent="0.25">
      <c r="A67" t="s">
        <v>92</v>
      </c>
    </row>
    <row r="68" spans="1:6" ht="18.75" x14ac:dyDescent="0.3">
      <c r="A68" t="s">
        <v>93</v>
      </c>
      <c r="B68" s="45">
        <f>B58*B4</f>
        <v>5752</v>
      </c>
      <c r="D68" s="45">
        <f>D58*B4</f>
        <v>4844</v>
      </c>
      <c r="F68" s="45">
        <f>F58*B4</f>
        <v>4324</v>
      </c>
    </row>
    <row r="69" spans="1:6" ht="18.75" x14ac:dyDescent="0.3">
      <c r="A69" t="s">
        <v>95</v>
      </c>
      <c r="B69" s="45">
        <f>B53*B4</f>
        <v>3484</v>
      </c>
      <c r="D69" s="45">
        <f>D53*B4</f>
        <v>2576</v>
      </c>
      <c r="F69" s="45">
        <f>F53*B4</f>
        <v>2053.1632756351855</v>
      </c>
    </row>
    <row r="70" spans="1:6" ht="18.75" x14ac:dyDescent="0.3">
      <c r="A70" t="s">
        <v>96</v>
      </c>
      <c r="B70" s="48">
        <f>B68-B69</f>
        <v>2268</v>
      </c>
      <c r="D70" s="48">
        <f>D68-D69</f>
        <v>2268</v>
      </c>
      <c r="F70" s="48">
        <f>F68-F69</f>
        <v>2270.8367243648145</v>
      </c>
    </row>
    <row r="71" spans="1:6" ht="18.75" x14ac:dyDescent="0.3">
      <c r="A71" t="s">
        <v>97</v>
      </c>
      <c r="B71" s="52">
        <f>B70/B68</f>
        <v>0.39429763560500697</v>
      </c>
      <c r="D71" s="52">
        <f>D70/D68</f>
        <v>0.46820809248554912</v>
      </c>
      <c r="F71" s="52">
        <f>F70/F68</f>
        <v>0.52517038028788499</v>
      </c>
    </row>
    <row r="73" spans="1:6" ht="15.75" thickBot="1" x14ac:dyDescent="0.3">
      <c r="A73" s="43" t="s">
        <v>83</v>
      </c>
    </row>
    <row r="74" spans="1:6" ht="19.5" thickBot="1" x14ac:dyDescent="0.35">
      <c r="A74" t="s">
        <v>90</v>
      </c>
      <c r="B74" s="40">
        <f>B58</f>
        <v>1438</v>
      </c>
      <c r="D74" s="40">
        <f>D58</f>
        <v>1211</v>
      </c>
      <c r="F74" s="40">
        <f>F58</f>
        <v>1081</v>
      </c>
    </row>
    <row r="75" spans="1:6" ht="18.75" x14ac:dyDescent="0.3">
      <c r="B75" s="46"/>
    </row>
    <row r="76" spans="1:6" ht="18.75" x14ac:dyDescent="0.3">
      <c r="A76" s="49" t="s">
        <v>88</v>
      </c>
      <c r="B76" s="46"/>
    </row>
    <row r="77" spans="1:6" ht="18.75" x14ac:dyDescent="0.3">
      <c r="A77" t="s">
        <v>84</v>
      </c>
      <c r="B77" s="45">
        <f>B74*B4</f>
        <v>5752</v>
      </c>
      <c r="D77" s="45">
        <f>D74*B4</f>
        <v>4844</v>
      </c>
      <c r="E77" s="47"/>
      <c r="F77" s="45">
        <f>F74*B4</f>
        <v>4324</v>
      </c>
    </row>
    <row r="78" spans="1:6" ht="18.75" x14ac:dyDescent="0.3">
      <c r="A78" t="s">
        <v>85</v>
      </c>
      <c r="B78" s="45">
        <f>B74*B39</f>
        <v>678.42785714285719</v>
      </c>
      <c r="D78" s="45">
        <f>D74*D39</f>
        <v>571.33249999999998</v>
      </c>
      <c r="E78" s="47"/>
      <c r="F78" s="45">
        <f>F74*F39</f>
        <v>510.00035714285718</v>
      </c>
    </row>
    <row r="79" spans="1:6" ht="18.75" x14ac:dyDescent="0.3">
      <c r="A79" t="s">
        <v>86</v>
      </c>
      <c r="B79" s="48">
        <f>B77-B78</f>
        <v>5073.5721428571433</v>
      </c>
      <c r="D79" s="48">
        <f>D77-D78</f>
        <v>4272.6674999999996</v>
      </c>
      <c r="F79" s="48">
        <f>F77-F78</f>
        <v>3813.999642857143</v>
      </c>
    </row>
    <row r="80" spans="1:6" ht="18.75" x14ac:dyDescent="0.3">
      <c r="A80" t="s">
        <v>87</v>
      </c>
      <c r="B80" s="45">
        <f>B51</f>
        <v>3071</v>
      </c>
      <c r="D80" s="45">
        <f>D51</f>
        <v>2271</v>
      </c>
      <c r="F80" s="45">
        <f>F51</f>
        <v>1811</v>
      </c>
    </row>
    <row r="81" spans="1:6" ht="19.5" thickBot="1" x14ac:dyDescent="0.35">
      <c r="A81" t="s">
        <v>89</v>
      </c>
      <c r="B81" s="50">
        <f>B79-B80</f>
        <v>2002.5721428571433</v>
      </c>
      <c r="D81" s="50">
        <f>D79-D80</f>
        <v>2001.6674999999996</v>
      </c>
      <c r="F81" s="50">
        <f>F79-F80</f>
        <v>2002.999642857143</v>
      </c>
    </row>
    <row r="82" spans="1:6" ht="16.5" thickTop="1" x14ac:dyDescent="0.25">
      <c r="A82" t="s">
        <v>91</v>
      </c>
      <c r="B82" s="51">
        <f>B81/B77</f>
        <v>0.34815231969004579</v>
      </c>
      <c r="D82" s="51">
        <f>D81/D77</f>
        <v>0.41322615606936408</v>
      </c>
      <c r="F82" s="51">
        <f>F81/F77</f>
        <v>0.46322840954142991</v>
      </c>
    </row>
    <row r="84" spans="1:6" x14ac:dyDescent="0.25">
      <c r="A84" s="53" t="s">
        <v>98</v>
      </c>
    </row>
    <row r="86" spans="1:6" x14ac:dyDescent="0.25">
      <c r="A86" t="s">
        <v>99</v>
      </c>
    </row>
    <row r="88" spans="1:6" ht="18.75" x14ac:dyDescent="0.3">
      <c r="A88" t="s">
        <v>87</v>
      </c>
      <c r="B88" s="45">
        <f>B48</f>
        <v>3071</v>
      </c>
      <c r="D88" s="45">
        <f>D48</f>
        <v>2271</v>
      </c>
      <c r="F88" s="45">
        <f>F48</f>
        <v>1811</v>
      </c>
    </row>
    <row r="89" spans="1:6" ht="18.75" x14ac:dyDescent="0.3">
      <c r="A89" t="s">
        <v>100</v>
      </c>
      <c r="B89" s="45">
        <f>B52</f>
        <v>3.5282142857142857</v>
      </c>
      <c r="D89" s="45">
        <f>D52</f>
        <v>3.5282142857142857</v>
      </c>
      <c r="F89" s="45">
        <f>F52</f>
        <v>3.5282142857142857</v>
      </c>
    </row>
    <row r="90" spans="1:6" ht="15.75" x14ac:dyDescent="0.25">
      <c r="A90" t="s">
        <v>101</v>
      </c>
      <c r="B90" s="51">
        <f>B89/B4</f>
        <v>0.88205357142857144</v>
      </c>
      <c r="D90" s="51">
        <f>D89/B4</f>
        <v>0.88205357142857144</v>
      </c>
      <c r="F90" s="51">
        <f>F89/B4</f>
        <v>0.88205357142857144</v>
      </c>
    </row>
    <row r="91" spans="1:6" ht="16.5" thickBot="1" x14ac:dyDescent="0.3">
      <c r="A91" t="s">
        <v>102</v>
      </c>
      <c r="B91" s="51">
        <f>B90-0.2</f>
        <v>0.68205357142857137</v>
      </c>
      <c r="D91" s="51">
        <f>D90-0.2</f>
        <v>0.68205357142857137</v>
      </c>
      <c r="F91" s="51">
        <f>F90-0.2</f>
        <v>0.68205357142857137</v>
      </c>
    </row>
    <row r="92" spans="1:6" ht="19.5" thickBot="1" x14ac:dyDescent="0.35">
      <c r="A92" t="s">
        <v>103</v>
      </c>
      <c r="B92" s="44">
        <f>B88/B91</f>
        <v>4502.57887158005</v>
      </c>
      <c r="D92" s="44">
        <f>D88/D91</f>
        <v>3329.6504778112321</v>
      </c>
      <c r="F92" s="44">
        <f>F88/F91</f>
        <v>2655.2166513941615</v>
      </c>
    </row>
    <row r="93" spans="1:6" x14ac:dyDescent="0.25">
      <c r="A93" t="s">
        <v>105</v>
      </c>
    </row>
    <row r="94" spans="1:6" ht="18.75" x14ac:dyDescent="0.3">
      <c r="A94" t="s">
        <v>104</v>
      </c>
      <c r="B94" s="45">
        <f>B92*(1-B90)</f>
        <v>531.06309726403981</v>
      </c>
      <c r="D94" s="45">
        <f>D92*(1-D90)</f>
        <v>392.72038224898546</v>
      </c>
      <c r="F94" s="45">
        <f>F92*(1-F90)</f>
        <v>313.1733211153292</v>
      </c>
    </row>
    <row r="95" spans="1:6" ht="18.75" x14ac:dyDescent="0.3">
      <c r="A95" t="s">
        <v>106</v>
      </c>
      <c r="B95" s="48">
        <f>B92-B94</f>
        <v>3971.5157743160103</v>
      </c>
      <c r="D95" s="48">
        <f>D92-D94</f>
        <v>2936.9300955622466</v>
      </c>
      <c r="F95" s="48">
        <f>F92-F94</f>
        <v>2342.0433302788324</v>
      </c>
    </row>
    <row r="96" spans="1:6" ht="18.75" x14ac:dyDescent="0.3">
      <c r="A96" t="s">
        <v>87</v>
      </c>
      <c r="B96" s="45">
        <f>B88</f>
        <v>3071</v>
      </c>
      <c r="D96" s="45">
        <f>D88</f>
        <v>2271</v>
      </c>
      <c r="F96" s="45">
        <f>F88</f>
        <v>1811</v>
      </c>
    </row>
    <row r="97" spans="1:6" ht="18.75" x14ac:dyDescent="0.3">
      <c r="A97" t="s">
        <v>89</v>
      </c>
      <c r="B97" s="48">
        <f>B95-B96</f>
        <v>900.51577431601027</v>
      </c>
      <c r="D97" s="48">
        <f>D95-D96</f>
        <v>665.93009556224661</v>
      </c>
      <c r="F97" s="48">
        <f>F95-F96</f>
        <v>531.0433302788324</v>
      </c>
    </row>
    <row r="98" spans="1:6" ht="15.75" x14ac:dyDescent="0.25">
      <c r="B98" s="51">
        <f>B97/B92</f>
        <v>0.20000000000000007</v>
      </c>
      <c r="D98" s="51">
        <f>D97/D92</f>
        <v>0.20000000000000007</v>
      </c>
      <c r="F98" s="51">
        <f>F97/F92</f>
        <v>0.20000000000000004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activeCell="A28" sqref="A28"/>
    </sheetView>
  </sheetViews>
  <sheetFormatPr defaultRowHeight="15" x14ac:dyDescent="0.25"/>
  <cols>
    <col min="1" max="1" width="62.28515625" customWidth="1"/>
    <col min="2" max="2" width="15" customWidth="1"/>
  </cols>
  <sheetData>
    <row r="1" spans="1:2" x14ac:dyDescent="0.25">
      <c r="A1" s="1" t="s">
        <v>46</v>
      </c>
    </row>
    <row r="3" spans="1:2" ht="15.75" thickBot="1" x14ac:dyDescent="0.3">
      <c r="A3" s="1" t="s">
        <v>40</v>
      </c>
    </row>
    <row r="4" spans="1:2" ht="15.75" thickBot="1" x14ac:dyDescent="0.3">
      <c r="A4" t="s">
        <v>32</v>
      </c>
      <c r="B4" s="9">
        <v>3</v>
      </c>
    </row>
    <row r="5" spans="1:2" ht="15.75" thickBot="1" x14ac:dyDescent="0.3">
      <c r="A5" s="1"/>
    </row>
    <row r="6" spans="1:2" ht="15.75" thickBot="1" x14ac:dyDescent="0.3">
      <c r="A6" t="s">
        <v>0</v>
      </c>
      <c r="B6" s="13">
        <f>+'Part 1'!B6</f>
        <v>0.2</v>
      </c>
    </row>
    <row r="7" spans="1:2" ht="15.75" thickBot="1" x14ac:dyDescent="0.3">
      <c r="A7" t="s">
        <v>1</v>
      </c>
      <c r="B7" s="13">
        <f>+'Part 1'!B7</f>
        <v>0.02</v>
      </c>
    </row>
    <row r="8" spans="1:2" ht="15.75" thickBot="1" x14ac:dyDescent="0.3">
      <c r="A8" t="s">
        <v>2</v>
      </c>
      <c r="B8" s="13">
        <v>0</v>
      </c>
    </row>
    <row r="9" spans="1:2" ht="15.75" thickBot="1" x14ac:dyDescent="0.3">
      <c r="A9" t="s">
        <v>3</v>
      </c>
      <c r="B9" s="13">
        <f>+'Part 1'!B9*2</f>
        <v>0.02</v>
      </c>
    </row>
    <row r="10" spans="1:2" ht="15.75" thickBot="1" x14ac:dyDescent="0.3">
      <c r="A10" t="s">
        <v>41</v>
      </c>
      <c r="B10" s="13">
        <f>+'Part 1'!B27</f>
        <v>0.15178571428571427</v>
      </c>
    </row>
    <row r="11" spans="1:2" ht="15.75" thickBot="1" x14ac:dyDescent="0.3">
      <c r="A11" t="s">
        <v>42</v>
      </c>
      <c r="B11" s="14">
        <f>SUM(B6:B10)</f>
        <v>0.39178571428571429</v>
      </c>
    </row>
    <row r="12" spans="1:2" ht="15.75" thickBot="1" x14ac:dyDescent="0.3"/>
    <row r="13" spans="1:2" ht="15.75" thickBot="1" x14ac:dyDescent="0.3">
      <c r="A13" t="s">
        <v>44</v>
      </c>
      <c r="B13" s="9">
        <f>+B4*200</f>
        <v>600</v>
      </c>
    </row>
    <row r="14" spans="1:2" ht="15.75" thickBot="1" x14ac:dyDescent="0.3">
      <c r="A14" t="s">
        <v>43</v>
      </c>
      <c r="B14" s="12">
        <f>200*B11</f>
        <v>78.357142857142861</v>
      </c>
    </row>
    <row r="15" spans="1:2" ht="15.75" thickBot="1" x14ac:dyDescent="0.3">
      <c r="A15" t="s">
        <v>45</v>
      </c>
      <c r="B15" s="12">
        <f>+B13-B14</f>
        <v>521.64285714285711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workbookViewId="0">
      <selection activeCell="C26" sqref="C26"/>
    </sheetView>
  </sheetViews>
  <sheetFormatPr defaultRowHeight="15" x14ac:dyDescent="0.25"/>
  <cols>
    <col min="1" max="1" width="73.85546875" customWidth="1"/>
    <col min="2" max="3" width="15.5703125" customWidth="1"/>
    <col min="7" max="7" width="10.5703125" bestFit="1" customWidth="1"/>
  </cols>
  <sheetData>
    <row r="1" spans="1:2" x14ac:dyDescent="0.25">
      <c r="A1" s="1" t="s">
        <v>49</v>
      </c>
    </row>
    <row r="3" spans="1:2" ht="15.75" thickBot="1" x14ac:dyDescent="0.3">
      <c r="A3" s="1" t="s">
        <v>50</v>
      </c>
    </row>
    <row r="4" spans="1:2" ht="15.75" thickBot="1" x14ac:dyDescent="0.3">
      <c r="A4" t="s">
        <v>32</v>
      </c>
      <c r="B4" s="9">
        <v>5</v>
      </c>
    </row>
    <row r="5" spans="1:2" ht="15.75" thickBot="1" x14ac:dyDescent="0.3">
      <c r="A5" s="1"/>
      <c r="B5" s="17"/>
    </row>
    <row r="6" spans="1:2" ht="15.75" thickBot="1" x14ac:dyDescent="0.3">
      <c r="A6" t="s">
        <v>0</v>
      </c>
      <c r="B6" s="9">
        <f>+'Part 1'!B6</f>
        <v>0.2</v>
      </c>
    </row>
    <row r="7" spans="1:2" ht="15.75" thickBot="1" x14ac:dyDescent="0.3">
      <c r="A7" t="s">
        <v>1</v>
      </c>
      <c r="B7" s="9">
        <f>+'Part 1'!B7</f>
        <v>0.02</v>
      </c>
    </row>
    <row r="8" spans="1:2" ht="15.75" thickBot="1" x14ac:dyDescent="0.3">
      <c r="A8" t="s">
        <v>2</v>
      </c>
      <c r="B8" s="9">
        <f>+'Part 1'!B8</f>
        <v>0.08</v>
      </c>
    </row>
    <row r="9" spans="1:2" ht="15.75" thickBot="1" x14ac:dyDescent="0.3">
      <c r="A9" t="s">
        <v>3</v>
      </c>
      <c r="B9" s="9">
        <f>+'Part 1'!B9</f>
        <v>0.01</v>
      </c>
    </row>
    <row r="10" spans="1:2" ht="15.75" thickBot="1" x14ac:dyDescent="0.3">
      <c r="A10" t="s">
        <v>4</v>
      </c>
      <c r="B10" s="10">
        <f>+'Part 1'!B10</f>
        <v>28</v>
      </c>
    </row>
    <row r="11" spans="1:2" ht="15.75" thickBot="1" x14ac:dyDescent="0.3">
      <c r="A11" t="s">
        <v>5</v>
      </c>
      <c r="B11" s="9">
        <v>8</v>
      </c>
    </row>
    <row r="12" spans="1:2" ht="15.75" thickBot="1" x14ac:dyDescent="0.3">
      <c r="A12" t="s">
        <v>6</v>
      </c>
      <c r="B12" s="9">
        <f>+'Part 1'!B12</f>
        <v>10</v>
      </c>
    </row>
    <row r="13" spans="1:2" ht="15.75" thickBot="1" x14ac:dyDescent="0.3">
      <c r="A13" t="s">
        <v>21</v>
      </c>
      <c r="B13" s="9">
        <f>+'Part 1'!B13</f>
        <v>25</v>
      </c>
    </row>
    <row r="14" spans="1:2" ht="15.75" thickBot="1" x14ac:dyDescent="0.3">
      <c r="A14" t="s">
        <v>7</v>
      </c>
      <c r="B14" s="9">
        <f>+'Part 1'!B14</f>
        <v>250</v>
      </c>
    </row>
    <row r="15" spans="1:2" ht="15.75" thickBot="1" x14ac:dyDescent="0.3">
      <c r="A15" t="s">
        <v>23</v>
      </c>
      <c r="B15" s="9">
        <f>+'Part 1'!B15</f>
        <v>650</v>
      </c>
    </row>
    <row r="16" spans="1:2" ht="15.75" thickBot="1" x14ac:dyDescent="0.3">
      <c r="A16" t="s">
        <v>26</v>
      </c>
      <c r="B16" s="9">
        <f>+'Part 1'!B16</f>
        <v>3180</v>
      </c>
    </row>
    <row r="17" spans="1:3" ht="15.75" thickBot="1" x14ac:dyDescent="0.3">
      <c r="A17" t="s">
        <v>27</v>
      </c>
      <c r="B17" s="9">
        <f>+'Part 1'!B17</f>
        <v>1080</v>
      </c>
    </row>
    <row r="19" spans="1:3" x14ac:dyDescent="0.25">
      <c r="A19" s="1" t="s">
        <v>48</v>
      </c>
    </row>
    <row r="21" spans="1:3" ht="15.75" thickBot="1" x14ac:dyDescent="0.3">
      <c r="A21" s="1" t="s">
        <v>10</v>
      </c>
    </row>
    <row r="22" spans="1:3" ht="15.75" thickBot="1" x14ac:dyDescent="0.3">
      <c r="A22" t="s">
        <v>39</v>
      </c>
      <c r="B22" s="15">
        <v>20</v>
      </c>
      <c r="C22" t="s">
        <v>71</v>
      </c>
    </row>
    <row r="23" spans="1:3" ht="15.75" thickBot="1" x14ac:dyDescent="0.3">
      <c r="A23" t="s">
        <v>11</v>
      </c>
      <c r="B23" s="15">
        <v>6</v>
      </c>
    </row>
    <row r="24" spans="1:3" ht="15.75" thickBot="1" x14ac:dyDescent="0.3">
      <c r="A24" t="s">
        <v>12</v>
      </c>
      <c r="B24" s="15">
        <v>8</v>
      </c>
    </row>
    <row r="25" spans="1:3" ht="15.75" thickBot="1" x14ac:dyDescent="0.3">
      <c r="A25" s="3" t="s">
        <v>54</v>
      </c>
      <c r="B25" s="15">
        <v>72</v>
      </c>
      <c r="C25" s="3"/>
    </row>
    <row r="26" spans="1:3" x14ac:dyDescent="0.25">
      <c r="A26" s="3"/>
      <c r="B26" s="3"/>
      <c r="C26" s="3"/>
    </row>
    <row r="27" spans="1:3" ht="15.75" thickBot="1" x14ac:dyDescent="0.3">
      <c r="A27" s="6" t="s">
        <v>76</v>
      </c>
      <c r="B27" s="7"/>
      <c r="C27" s="3"/>
    </row>
    <row r="28" spans="1:3" ht="15.75" thickBot="1" x14ac:dyDescent="0.3">
      <c r="A28" s="3" t="s">
        <v>9</v>
      </c>
      <c r="B28" s="11">
        <f>+B11/B10</f>
        <v>0.2857142857142857</v>
      </c>
      <c r="C28" s="3"/>
    </row>
    <row r="29" spans="1:3" x14ac:dyDescent="0.25">
      <c r="A29" s="3"/>
      <c r="B29" s="3"/>
      <c r="C29" s="3"/>
    </row>
    <row r="30" spans="1:3" x14ac:dyDescent="0.25">
      <c r="A30" s="6" t="s">
        <v>73</v>
      </c>
      <c r="B30" s="3"/>
      <c r="C30" s="3"/>
    </row>
    <row r="31" spans="1:3" x14ac:dyDescent="0.25">
      <c r="A31" s="3"/>
      <c r="B31" s="3"/>
      <c r="C31" s="3"/>
    </row>
    <row r="32" spans="1:3" x14ac:dyDescent="0.25">
      <c r="A32" s="28" t="s">
        <v>52</v>
      </c>
      <c r="B32" s="28"/>
      <c r="C32" s="3"/>
    </row>
    <row r="33" spans="1:7" x14ac:dyDescent="0.25">
      <c r="A33" s="28" t="s">
        <v>77</v>
      </c>
      <c r="B33" s="28"/>
      <c r="C33" s="3"/>
    </row>
    <row r="34" spans="1:7" x14ac:dyDescent="0.25">
      <c r="A34" s="28" t="s">
        <v>51</v>
      </c>
      <c r="B34" s="28"/>
      <c r="C34" s="3"/>
    </row>
    <row r="35" spans="1:7" ht="15.75" thickBot="1" x14ac:dyDescent="0.3">
      <c r="A35" s="3"/>
      <c r="B35" s="3"/>
      <c r="C35" s="3"/>
    </row>
    <row r="36" spans="1:7" ht="15.75" thickBot="1" x14ac:dyDescent="0.3">
      <c r="A36" s="3" t="s">
        <v>53</v>
      </c>
      <c r="B36" s="3"/>
      <c r="C36" s="9">
        <f>+B4*B22*B25</f>
        <v>7200</v>
      </c>
      <c r="G36" s="2"/>
    </row>
    <row r="37" spans="1:7" ht="15.75" thickBot="1" x14ac:dyDescent="0.3">
      <c r="A37" s="3" t="s">
        <v>55</v>
      </c>
      <c r="B37" s="8"/>
      <c r="C37" s="3"/>
    </row>
    <row r="38" spans="1:7" ht="15.75" thickBot="1" x14ac:dyDescent="0.3">
      <c r="A38" s="3" t="s">
        <v>56</v>
      </c>
      <c r="B38" s="9">
        <f>+B25*B22*B6</f>
        <v>288</v>
      </c>
      <c r="C38" s="3"/>
    </row>
    <row r="39" spans="1:7" ht="15.75" thickBot="1" x14ac:dyDescent="0.3">
      <c r="A39" s="3" t="s">
        <v>57</v>
      </c>
      <c r="B39" s="16">
        <f>+B25*B22*B7</f>
        <v>28.8</v>
      </c>
      <c r="C39" s="3"/>
    </row>
    <row r="40" spans="1:7" ht="15.75" thickBot="1" x14ac:dyDescent="0.3">
      <c r="A40" s="3" t="s">
        <v>58</v>
      </c>
      <c r="B40" s="16">
        <f>+B25*B22*B8</f>
        <v>115.2</v>
      </c>
      <c r="C40" s="3"/>
    </row>
    <row r="41" spans="1:7" ht="15.75" thickBot="1" x14ac:dyDescent="0.3">
      <c r="A41" s="3" t="s">
        <v>59</v>
      </c>
      <c r="B41" s="16">
        <f>+B9*2*B22*B25</f>
        <v>28.8</v>
      </c>
      <c r="C41" s="3"/>
    </row>
    <row r="42" spans="1:7" ht="15.75" thickBot="1" x14ac:dyDescent="0.3">
      <c r="A42" s="3" t="s">
        <v>60</v>
      </c>
      <c r="B42" s="16">
        <f>+B11/B10*B22*B25</f>
        <v>411.42857142857139</v>
      </c>
      <c r="C42" s="3"/>
    </row>
    <row r="43" spans="1:7" ht="15.75" thickBot="1" x14ac:dyDescent="0.3">
      <c r="A43" s="3" t="s">
        <v>61</v>
      </c>
      <c r="B43" s="3"/>
      <c r="C43" s="9">
        <f>SUM(B38:B42)</f>
        <v>872.2285714285714</v>
      </c>
    </row>
    <row r="44" spans="1:7" ht="15.75" thickBot="1" x14ac:dyDescent="0.3">
      <c r="A44" s="3" t="s">
        <v>62</v>
      </c>
      <c r="B44" s="3"/>
      <c r="C44" s="9">
        <f>+C36-C43</f>
        <v>6327.7714285714283</v>
      </c>
    </row>
    <row r="45" spans="1:7" ht="15.75" thickBot="1" x14ac:dyDescent="0.3">
      <c r="A45" s="3" t="s">
        <v>63</v>
      </c>
      <c r="B45" s="4"/>
      <c r="C45" s="3"/>
    </row>
    <row r="46" spans="1:7" ht="15.75" thickBot="1" x14ac:dyDescent="0.3">
      <c r="A46" s="3" t="s">
        <v>64</v>
      </c>
      <c r="B46" s="9">
        <f>+B12*B22*B24</f>
        <v>1600</v>
      </c>
      <c r="C46" s="3"/>
    </row>
    <row r="47" spans="1:7" ht="15.75" thickBot="1" x14ac:dyDescent="0.3">
      <c r="A47" s="3" t="s">
        <v>65</v>
      </c>
      <c r="B47" s="16">
        <f>+B22*B13</f>
        <v>500</v>
      </c>
      <c r="C47" s="3"/>
    </row>
    <row r="48" spans="1:7" ht="15.75" thickBot="1" x14ac:dyDescent="0.3">
      <c r="A48" s="3" t="s">
        <v>79</v>
      </c>
      <c r="B48" s="16">
        <f>B14</f>
        <v>250</v>
      </c>
      <c r="C48" s="3"/>
    </row>
    <row r="49" spans="1:3" ht="15.75" thickBot="1" x14ac:dyDescent="0.3">
      <c r="A49" s="3" t="s">
        <v>66</v>
      </c>
      <c r="B49" s="16">
        <f>+B15</f>
        <v>650</v>
      </c>
      <c r="C49" s="3"/>
    </row>
    <row r="50" spans="1:3" ht="15.75" thickBot="1" x14ac:dyDescent="0.3">
      <c r="A50" s="3" t="s">
        <v>67</v>
      </c>
      <c r="B50" s="16">
        <f>+B16/5/12</f>
        <v>53</v>
      </c>
      <c r="C50" s="3"/>
    </row>
    <row r="51" spans="1:3" ht="15.75" thickBot="1" x14ac:dyDescent="0.3">
      <c r="A51" s="3" t="s">
        <v>68</v>
      </c>
      <c r="B51" s="16">
        <f>+B17/5/12</f>
        <v>18</v>
      </c>
      <c r="C51" s="3"/>
    </row>
    <row r="52" spans="1:3" ht="15.75" thickBot="1" x14ac:dyDescent="0.3">
      <c r="A52" s="3" t="s">
        <v>69</v>
      </c>
      <c r="B52" s="3"/>
      <c r="C52" s="9">
        <f>SUM(B46:B51)</f>
        <v>3071</v>
      </c>
    </row>
    <row r="53" spans="1:3" ht="15.75" thickBot="1" x14ac:dyDescent="0.3">
      <c r="A53" s="3" t="s">
        <v>70</v>
      </c>
      <c r="B53" s="3"/>
      <c r="C53" s="9">
        <f>+C44-C52</f>
        <v>3256.7714285714283</v>
      </c>
    </row>
  </sheetData>
  <mergeCells count="3">
    <mergeCell ref="A32:B32"/>
    <mergeCell ref="A33:B33"/>
    <mergeCell ref="A34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1</vt:lpstr>
      <vt:lpstr>Part 2</vt:lpstr>
      <vt:lpstr>Part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2017-05-31T20:53:04Z</dcterms:created>
  <dcterms:modified xsi:type="dcterms:W3CDTF">2023-09-11T19:54:18Z</dcterms:modified>
</cp:coreProperties>
</file>