
<file path=[Content_Types].xml><?xml version="1.0" encoding="utf-8"?>
<Types xmlns="http://schemas.openxmlformats.org/package/2006/content-types">
  <Default Extension="png" ContentType="image/png"/>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drawings/drawing3.xml" ContentType="application/vnd.openxmlformats-officedocument.drawing+xml"/>
  <Override PartName="/xl/drawings/drawing4.xml" ContentType="application/vnd.openxmlformats-officedocument.drawing+xml"/>
  <Override PartName="/xl/ink/ink4.xml" ContentType="application/inkml+xml"/>
  <Override PartName="/xl/drawings/drawing5.xml" ContentType="application/vnd.openxmlformats-officedocument.drawing+xml"/>
  <Override PartName="/xl/ink/ink5.xml" ContentType="application/inkml+xml"/>
  <Override PartName="/xl/drawings/drawing6.xml" ContentType="application/vnd.openxmlformats-officedocument.drawing+xml"/>
  <Override PartName="/xl/drawings/drawing7.xml" ContentType="application/vnd.openxmlformats-officedocument.drawing+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drawings/drawing13.xml" ContentType="application/vnd.openxmlformats-officedocument.drawing+xml"/>
  <Override PartName="/xl/ink/ink34.xml" ContentType="application/inkml+xml"/>
  <Override PartName="/xl/ink/ink35.xml" ContentType="application/inkml+xml"/>
  <Override PartName="/xl/ink/ink36.xml" ContentType="application/inkml+xml"/>
  <Override PartName="/xl/ink/ink37.xml" ContentType="application/inkml+xml"/>
  <Override PartName="/xl/ink/ink38.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okina\Desktop\"/>
    </mc:Choice>
  </mc:AlternateContent>
  <bookViews>
    <workbookView xWindow="0" yWindow="0" windowWidth="26083" windowHeight="12512" tabRatio="957" firstSheet="1" activeTab="22"/>
  </bookViews>
  <sheets>
    <sheet name="Budget1" sheetId="23" r:id="rId1"/>
    <sheet name="Budget2" sheetId="24" r:id="rId2"/>
    <sheet name="Budget 3." sheetId="54" r:id="rId3"/>
    <sheet name="Q3 Q2" sheetId="34" r:id="rId4"/>
    <sheet name="Q3 Q3,6" sheetId="35" r:id="rId5"/>
    <sheet name="Q3 Q4" sheetId="36" r:id="rId6"/>
    <sheet name="W1" sheetId="10" r:id="rId7"/>
    <sheet name="W2" sheetId="11" r:id="rId8"/>
    <sheet name="W3" sheetId="12" r:id="rId9"/>
    <sheet name="W4" sheetId="16" r:id="rId10"/>
    <sheet name="W Analysis" sheetId="14" r:id="rId11"/>
    <sheet name="ABC" sheetId="43" r:id="rId12"/>
    <sheet name="ABC 5-39" sheetId="2" r:id="rId13"/>
    <sheet name="Q4 Q1" sheetId="44" r:id="rId14"/>
    <sheet name="Q4 Q2." sheetId="45" r:id="rId15"/>
    <sheet name="Q4 Q2" sheetId="22" r:id="rId16"/>
    <sheet name="ABC vs Trad OH" sheetId="49" r:id="rId17"/>
    <sheet name="ABM BI" sheetId="46" r:id="rId18"/>
    <sheet name="ABM LL" sheetId="47" r:id="rId19"/>
    <sheet name="ABM Bay" sheetId="48" r:id="rId20"/>
    <sheet name="TC" sheetId="50" r:id="rId21"/>
    <sheet name="TC CFM" sheetId="51" r:id="rId22"/>
    <sheet name="TC quiz" sheetId="52" r:id="rId23"/>
    <sheet name="Budget 3" sheetId="53" r:id="rId2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6" i="54" l="1"/>
  <c r="A55" i="54"/>
  <c r="A54" i="54"/>
  <c r="A53" i="54"/>
  <c r="A48" i="54"/>
  <c r="E44" i="54"/>
  <c r="E55" i="54" s="1"/>
  <c r="D44" i="54"/>
  <c r="D55" i="54" s="1"/>
  <c r="A39" i="54"/>
  <c r="A30" i="54"/>
  <c r="A56" i="53"/>
  <c r="E55" i="53"/>
  <c r="A55" i="53"/>
  <c r="A54" i="53"/>
  <c r="A53" i="53"/>
  <c r="A48" i="53"/>
  <c r="E44" i="53"/>
  <c r="D44" i="53"/>
  <c r="D55" i="53" s="1"/>
  <c r="B44" i="53"/>
  <c r="B40" i="53"/>
  <c r="A39" i="53"/>
  <c r="A30" i="53"/>
  <c r="F24" i="53"/>
  <c r="F23" i="53"/>
  <c r="E24" i="53" s="1"/>
  <c r="F25" i="53" s="1"/>
  <c r="E23" i="53"/>
  <c r="D24" i="53" s="1"/>
  <c r="E25" i="53" s="1"/>
  <c r="D23" i="53"/>
  <c r="C24" i="53" s="1"/>
  <c r="D25" i="53" s="1"/>
  <c r="D26" i="53" l="1"/>
  <c r="E26" i="53"/>
  <c r="F26" i="53"/>
  <c r="F30" i="53" s="1"/>
  <c r="F31" i="53" s="1"/>
  <c r="E32" i="53" s="1"/>
  <c r="E48" i="54" l="1"/>
  <c r="E53" i="54"/>
  <c r="C49" i="54"/>
  <c r="D54" i="54"/>
  <c r="D48" i="54"/>
  <c r="D53" i="54"/>
  <c r="D53" i="53"/>
  <c r="D57" i="53" s="1"/>
  <c r="C49" i="53"/>
  <c r="D54" i="53"/>
  <c r="D48" i="53"/>
  <c r="D49" i="53" s="1"/>
  <c r="D56" i="53" s="1"/>
  <c r="D39" i="53"/>
  <c r="D40" i="53" s="1"/>
  <c r="D41" i="53" s="1"/>
  <c r="D30" i="53"/>
  <c r="D31" i="53" s="1"/>
  <c r="E48" i="53"/>
  <c r="E49" i="53" s="1"/>
  <c r="E56" i="53" s="1"/>
  <c r="E53" i="53"/>
  <c r="E39" i="53"/>
  <c r="E40" i="53" s="1"/>
  <c r="E41" i="53" s="1"/>
  <c r="E30" i="53"/>
  <c r="E31" i="53" s="1"/>
  <c r="E54" i="54" l="1"/>
  <c r="E35" i="54"/>
  <c r="D35" i="54"/>
  <c r="K41" i="54"/>
  <c r="K40" i="54"/>
  <c r="K42" i="54" s="1"/>
  <c r="J40" i="54"/>
  <c r="J41" i="54"/>
  <c r="E49" i="54"/>
  <c r="E56" i="54" s="1"/>
  <c r="D49" i="54"/>
  <c r="D56" i="54" s="1"/>
  <c r="D57" i="54" s="1"/>
  <c r="K40" i="53"/>
  <c r="K42" i="53" s="1"/>
  <c r="E42" i="53"/>
  <c r="K41" i="53"/>
  <c r="E57" i="53"/>
  <c r="J40" i="53"/>
  <c r="D42" i="53"/>
  <c r="J41" i="53"/>
  <c r="C32" i="53"/>
  <c r="D33" i="53" s="1"/>
  <c r="D34" i="53"/>
  <c r="D35" i="53" s="1"/>
  <c r="D32" i="53"/>
  <c r="E33" i="53" s="1"/>
  <c r="E54" i="53"/>
  <c r="E34" i="53"/>
  <c r="E35" i="53" s="1"/>
  <c r="E57" i="54" l="1"/>
  <c r="J42" i="54"/>
  <c r="J42" i="53"/>
  <c r="C14" i="52" l="1"/>
  <c r="B33" i="51" l="1"/>
  <c r="C31" i="51" s="1"/>
  <c r="C32" i="51"/>
  <c r="E26" i="51"/>
  <c r="E25" i="51"/>
  <c r="E24" i="51"/>
  <c r="E23" i="51"/>
  <c r="E22" i="51"/>
  <c r="E21" i="51"/>
  <c r="E20" i="51"/>
  <c r="F10" i="51"/>
  <c r="F9" i="51"/>
  <c r="F6" i="51"/>
  <c r="F7" i="51" s="1"/>
  <c r="M50" i="50"/>
  <c r="M49" i="50"/>
  <c r="M48" i="50"/>
  <c r="M47" i="50"/>
  <c r="L47" i="50"/>
  <c r="P44" i="50"/>
  <c r="M42" i="50"/>
  <c r="P43" i="50" s="1"/>
  <c r="L42" i="50"/>
  <c r="P41" i="50"/>
  <c r="P40" i="50"/>
  <c r="C40" i="50"/>
  <c r="P39" i="50"/>
  <c r="M39" i="50"/>
  <c r="L39" i="50"/>
  <c r="P38" i="50"/>
  <c r="M37" i="50"/>
  <c r="P37" i="50" s="1"/>
  <c r="L37" i="50"/>
  <c r="N28" i="50"/>
  <c r="N27" i="50"/>
  <c r="N26" i="50"/>
  <c r="H26" i="50"/>
  <c r="E26" i="50"/>
  <c r="D26" i="50"/>
  <c r="N25" i="50"/>
  <c r="I25" i="50"/>
  <c r="H25" i="50"/>
  <c r="F25" i="50"/>
  <c r="N24" i="50"/>
  <c r="H24" i="50"/>
  <c r="I24" i="50" s="1"/>
  <c r="F24" i="50"/>
  <c r="H23" i="50"/>
  <c r="I23" i="50" s="1"/>
  <c r="F23" i="50"/>
  <c r="N22" i="50"/>
  <c r="N30" i="50" s="1"/>
  <c r="N32" i="50" s="1"/>
  <c r="H22" i="50"/>
  <c r="I22" i="50" s="1"/>
  <c r="I26" i="50" s="1"/>
  <c r="F22" i="50"/>
  <c r="F26" i="50" s="1"/>
  <c r="N31" i="50" s="1"/>
  <c r="N21" i="50"/>
  <c r="H21" i="50"/>
  <c r="H54" i="49"/>
  <c r="G54" i="49"/>
  <c r="H53" i="49"/>
  <c r="G53" i="49"/>
  <c r="F47" i="49"/>
  <c r="H57" i="49" s="1"/>
  <c r="F46" i="49"/>
  <c r="G56" i="49" s="1"/>
  <c r="F45" i="49"/>
  <c r="H55" i="49" s="1"/>
  <c r="F44" i="49"/>
  <c r="F43" i="49"/>
  <c r="F40" i="49"/>
  <c r="F39" i="49"/>
  <c r="G38" i="49"/>
  <c r="F38" i="49"/>
  <c r="G36" i="49"/>
  <c r="D19" i="49"/>
  <c r="F36" i="49" s="1"/>
  <c r="H36" i="49" s="1"/>
  <c r="F8" i="51" l="1"/>
  <c r="F13" i="51"/>
  <c r="F12" i="51"/>
  <c r="F11" i="51"/>
  <c r="F14" i="51"/>
  <c r="E27" i="51"/>
  <c r="D31" i="51" s="1"/>
  <c r="E31" i="51" s="1"/>
  <c r="C30" i="51"/>
  <c r="C33" i="51" s="1"/>
  <c r="P45" i="50"/>
  <c r="O50" i="50" s="1"/>
  <c r="O47" i="50"/>
  <c r="P42" i="50"/>
  <c r="M51" i="50"/>
  <c r="G39" i="49"/>
  <c r="H39" i="49" s="1"/>
  <c r="G40" i="49"/>
  <c r="H40" i="49" s="1"/>
  <c r="G58" i="49"/>
  <c r="H56" i="49"/>
  <c r="H58" i="49" s="1"/>
  <c r="G57" i="49"/>
  <c r="G55" i="49"/>
  <c r="M32" i="48"/>
  <c r="F30" i="48"/>
  <c r="Q30" i="48" s="1"/>
  <c r="T30" i="48" s="1"/>
  <c r="F29" i="48"/>
  <c r="O29" i="48" s="1"/>
  <c r="Q21" i="48"/>
  <c r="Q29" i="48" s="1"/>
  <c r="E35" i="48" s="1"/>
  <c r="G21" i="48"/>
  <c r="G29" i="48" s="1"/>
  <c r="R20" i="48"/>
  <c r="O20" i="48"/>
  <c r="L20" i="48"/>
  <c r="K20" i="48"/>
  <c r="H20" i="48"/>
  <c r="N19" i="48"/>
  <c r="N26" i="48" s="1"/>
  <c r="K19" i="48"/>
  <c r="K26" i="48" s="1"/>
  <c r="J19" i="48"/>
  <c r="J26" i="48" s="1"/>
  <c r="J32" i="48" s="1"/>
  <c r="I19" i="48"/>
  <c r="H19" i="48"/>
  <c r="H26" i="48" s="1"/>
  <c r="G19" i="48"/>
  <c r="G26" i="48" s="1"/>
  <c r="S18" i="48"/>
  <c r="Q18" i="48"/>
  <c r="P18" i="48"/>
  <c r="N18" i="48"/>
  <c r="T18" i="48" s="1"/>
  <c r="E14" i="48"/>
  <c r="K13" i="48"/>
  <c r="F31" i="48" s="1"/>
  <c r="S31" i="48" s="1"/>
  <c r="K12" i="48"/>
  <c r="N11" i="48"/>
  <c r="P11" i="48" s="1"/>
  <c r="K9" i="48"/>
  <c r="J7" i="48"/>
  <c r="I7" i="48"/>
  <c r="G7" i="48"/>
  <c r="K7" i="48" s="1"/>
  <c r="F27" i="48" s="1"/>
  <c r="F7" i="48"/>
  <c r="H7" i="48" s="1"/>
  <c r="O6" i="48"/>
  <c r="J6" i="48"/>
  <c r="I6" i="48"/>
  <c r="I10" i="48" s="1"/>
  <c r="K10" i="48" s="1"/>
  <c r="H6" i="48"/>
  <c r="H11" i="48" s="1"/>
  <c r="K11" i="48" s="1"/>
  <c r="G6" i="48"/>
  <c r="K6" i="48" s="1"/>
  <c r="F26" i="48" s="1"/>
  <c r="K5" i="48"/>
  <c r="J5" i="48"/>
  <c r="J8" i="48" s="1"/>
  <c r="K8" i="48" s="1"/>
  <c r="F28" i="48" s="1"/>
  <c r="R28" i="48" s="1"/>
  <c r="I5" i="48"/>
  <c r="H5" i="48"/>
  <c r="G60" i="47"/>
  <c r="G59" i="47"/>
  <c r="G57" i="47"/>
  <c r="G55" i="47"/>
  <c r="G53" i="47"/>
  <c r="L18" i="47"/>
  <c r="L19" i="47" s="1"/>
  <c r="R11" i="47"/>
  <c r="S11" i="47" s="1"/>
  <c r="N11" i="47"/>
  <c r="X11" i="47" s="1"/>
  <c r="X10" i="47"/>
  <c r="S10" i="47"/>
  <c r="L10" i="47"/>
  <c r="X9" i="47"/>
  <c r="O9" i="47"/>
  <c r="X8" i="47"/>
  <c r="L8" i="47"/>
  <c r="O8" i="47" s="1"/>
  <c r="L6" i="47"/>
  <c r="S6" i="47" s="1"/>
  <c r="X5" i="47"/>
  <c r="L5" i="47"/>
  <c r="O5" i="47" s="1"/>
  <c r="X4" i="47"/>
  <c r="S4" i="47"/>
  <c r="L4" i="47"/>
  <c r="X3" i="47"/>
  <c r="L3" i="47"/>
  <c r="L12" i="47" s="1"/>
  <c r="F34" i="46"/>
  <c r="F33" i="46"/>
  <c r="F32" i="46"/>
  <c r="G15" i="46"/>
  <c r="F15" i="46"/>
  <c r="E15" i="46"/>
  <c r="H15" i="46" s="1"/>
  <c r="H14" i="46"/>
  <c r="H13" i="46"/>
  <c r="I12" i="46"/>
  <c r="H12" i="46"/>
  <c r="D7" i="46"/>
  <c r="I6" i="46"/>
  <c r="I3" i="46" s="1"/>
  <c r="E3" i="46" s="1"/>
  <c r="D6" i="46"/>
  <c r="I5" i="46"/>
  <c r="D5" i="46"/>
  <c r="D4" i="46"/>
  <c r="D3" i="46"/>
  <c r="D32" i="51" l="1"/>
  <c r="E32" i="51" s="1"/>
  <c r="D30" i="51"/>
  <c r="P47" i="50"/>
  <c r="O49" i="50"/>
  <c r="N48" i="50"/>
  <c r="N50" i="50"/>
  <c r="P50" i="50" s="1"/>
  <c r="N49" i="50"/>
  <c r="N47" i="50"/>
  <c r="O48" i="50"/>
  <c r="P48" i="50" s="1"/>
  <c r="G32" i="48"/>
  <c r="O27" i="48"/>
  <c r="H32" i="48"/>
  <c r="E37" i="48"/>
  <c r="T31" i="48"/>
  <c r="R27" i="48"/>
  <c r="R32" i="48" s="1"/>
  <c r="T29" i="48"/>
  <c r="E36" i="48"/>
  <c r="E38" i="48" s="1"/>
  <c r="T28" i="48"/>
  <c r="K32" i="48"/>
  <c r="P27" i="48"/>
  <c r="L27" i="48"/>
  <c r="K27" i="48"/>
  <c r="H27" i="48"/>
  <c r="K14" i="48"/>
  <c r="I26" i="48"/>
  <c r="I32" i="48" s="1"/>
  <c r="P26" i="48"/>
  <c r="L26" i="48"/>
  <c r="L32" i="48" s="1"/>
  <c r="T20" i="48"/>
  <c r="O19" i="48"/>
  <c r="O26" i="48" s="1"/>
  <c r="K29" i="48"/>
  <c r="T19" i="48"/>
  <c r="T21" i="48"/>
  <c r="F25" i="48"/>
  <c r="R7" i="47"/>
  <c r="S7" i="47" s="1"/>
  <c r="S12" i="47" s="1"/>
  <c r="N7" i="47"/>
  <c r="O11" i="47"/>
  <c r="O3" i="47"/>
  <c r="E4" i="46"/>
  <c r="G4" i="46" s="1"/>
  <c r="D20" i="46" s="1"/>
  <c r="E6" i="46"/>
  <c r="G6" i="46" s="1"/>
  <c r="D22" i="46" s="1"/>
  <c r="F3" i="46"/>
  <c r="F7" i="46" s="1"/>
  <c r="G7" i="46" s="1"/>
  <c r="E5" i="46"/>
  <c r="G5" i="46" s="1"/>
  <c r="D21" i="46" s="1"/>
  <c r="F21" i="46" s="1"/>
  <c r="F5" i="46"/>
  <c r="F4" i="46"/>
  <c r="D8" i="46"/>
  <c r="R17" i="45"/>
  <c r="R16" i="45"/>
  <c r="R18" i="45" s="1"/>
  <c r="R14" i="45" s="1"/>
  <c r="T13" i="45"/>
  <c r="R13" i="45"/>
  <c r="T12" i="45"/>
  <c r="R12" i="45"/>
  <c r="R11" i="45"/>
  <c r="T11" i="45" s="1"/>
  <c r="T9" i="45"/>
  <c r="P17" i="44"/>
  <c r="R17" i="44" s="1"/>
  <c r="P16" i="44"/>
  <c r="R16" i="44" s="1"/>
  <c r="P15" i="44"/>
  <c r="R15" i="44" s="1"/>
  <c r="P14" i="44"/>
  <c r="R14" i="44" s="1"/>
  <c r="R12" i="44"/>
  <c r="R11" i="44"/>
  <c r="D33" i="51" l="1"/>
  <c r="E30" i="51"/>
  <c r="P49" i="50"/>
  <c r="N51" i="50"/>
  <c r="O51" i="50"/>
  <c r="N25" i="48"/>
  <c r="F32" i="48"/>
  <c r="Q25" i="48"/>
  <c r="Q32" i="48" s="1"/>
  <c r="P25" i="48"/>
  <c r="P32" i="48" s="1"/>
  <c r="S25" i="48"/>
  <c r="S32" i="48" s="1"/>
  <c r="T26" i="48"/>
  <c r="T27" i="48"/>
  <c r="O32" i="48"/>
  <c r="O12" i="47"/>
  <c r="O7" i="47"/>
  <c r="X7" i="47"/>
  <c r="G22" i="46"/>
  <c r="F22" i="46"/>
  <c r="E22" i="46"/>
  <c r="E20" i="46"/>
  <c r="G20" i="46"/>
  <c r="G3" i="46"/>
  <c r="T14" i="45"/>
  <c r="T15" i="45" s="1"/>
  <c r="W14" i="45"/>
  <c r="R18" i="44"/>
  <c r="O29" i="22"/>
  <c r="N32" i="48" l="1"/>
  <c r="T32" i="48" s="1"/>
  <c r="T25" i="48"/>
  <c r="D19" i="46"/>
  <c r="G8" i="46"/>
  <c r="Q32" i="22"/>
  <c r="O32" i="22"/>
  <c r="E19" i="46" l="1"/>
  <c r="E23" i="46" s="1"/>
  <c r="D28" i="46" s="1"/>
  <c r="G28" i="46" s="1"/>
  <c r="D32" i="46" s="1"/>
  <c r="G19" i="46"/>
  <c r="G23" i="46" s="1"/>
  <c r="D30" i="46" s="1"/>
  <c r="G30" i="46" s="1"/>
  <c r="D34" i="46" s="1"/>
  <c r="D23" i="46"/>
  <c r="F19" i="46"/>
  <c r="F23" i="46" s="1"/>
  <c r="D29" i="46" s="1"/>
  <c r="G29" i="46" s="1"/>
  <c r="D33" i="46" s="1"/>
  <c r="S15" i="34"/>
  <c r="S13" i="34"/>
  <c r="S11" i="34"/>
  <c r="S9" i="34"/>
  <c r="Q7" i="34"/>
  <c r="S25" i="35"/>
  <c r="S24" i="35"/>
  <c r="R23" i="35"/>
  <c r="S23" i="35"/>
  <c r="T22" i="35"/>
  <c r="S22" i="35"/>
  <c r="S21" i="35"/>
  <c r="R13" i="35"/>
  <c r="G28" i="36"/>
  <c r="G27" i="36"/>
  <c r="F26" i="36"/>
  <c r="G26" i="36"/>
  <c r="H25" i="36"/>
  <c r="G25" i="36"/>
  <c r="H23" i="36"/>
  <c r="G23" i="36"/>
  <c r="H22" i="36"/>
  <c r="G22" i="36"/>
  <c r="F21" i="36"/>
  <c r="H21" i="36"/>
  <c r="G21" i="36"/>
  <c r="O33" i="22" l="1"/>
  <c r="O31" i="22"/>
  <c r="O30" i="22"/>
  <c r="N32" i="22"/>
  <c r="N31" i="22"/>
  <c r="N30" i="22"/>
  <c r="N29" i="22"/>
  <c r="O27" i="22"/>
  <c r="T21" i="22"/>
  <c r="T22" i="22"/>
  <c r="T23" i="22"/>
  <c r="T20" i="22"/>
  <c r="Q23" i="22"/>
  <c r="Q22" i="22"/>
  <c r="Q21" i="22"/>
  <c r="Q20" i="22"/>
  <c r="U42" i="24" l="1"/>
  <c r="N42" i="24"/>
  <c r="C42" i="24"/>
  <c r="D43" i="24" s="1"/>
  <c r="J41" i="24"/>
  <c r="I42" i="24" s="1"/>
  <c r="I41" i="24"/>
  <c r="H41" i="24"/>
  <c r="G41" i="24"/>
  <c r="F41" i="24"/>
  <c r="E41" i="24"/>
  <c r="D41" i="24"/>
  <c r="C41" i="24"/>
  <c r="F40" i="24"/>
  <c r="E40" i="24"/>
  <c r="D40" i="24"/>
  <c r="C40" i="24"/>
  <c r="N38" i="24"/>
  <c r="T36" i="24"/>
  <c r="S36" i="24"/>
  <c r="R36" i="24"/>
  <c r="A35" i="24"/>
  <c r="U23" i="24"/>
  <c r="U22" i="24"/>
  <c r="B19" i="24"/>
  <c r="N18" i="24"/>
  <c r="U15" i="24"/>
  <c r="U13" i="24"/>
  <c r="T13" i="24"/>
  <c r="T22" i="24" s="1"/>
  <c r="S13" i="24"/>
  <c r="S22" i="24" s="1"/>
  <c r="R13" i="24"/>
  <c r="R22" i="24" s="1"/>
  <c r="Q13" i="24"/>
  <c r="Q22" i="24" s="1"/>
  <c r="P13" i="24"/>
  <c r="P22" i="24" s="1"/>
  <c r="O13" i="24"/>
  <c r="O22" i="24" s="1"/>
  <c r="I13" i="24"/>
  <c r="I12" i="24"/>
  <c r="G12" i="24"/>
  <c r="I11" i="24"/>
  <c r="G11" i="24"/>
  <c r="G13" i="24" s="1"/>
  <c r="A10" i="24"/>
  <c r="K6" i="24"/>
  <c r="J6" i="24"/>
  <c r="I6" i="24"/>
  <c r="H6" i="24"/>
  <c r="G6" i="24"/>
  <c r="F6" i="24"/>
  <c r="F27" i="24" s="1"/>
  <c r="E6" i="24"/>
  <c r="E27" i="24" s="1"/>
  <c r="D6" i="24"/>
  <c r="D27" i="24" s="1"/>
  <c r="C6" i="24"/>
  <c r="C27" i="24" s="1"/>
  <c r="O28" i="23"/>
  <c r="I28" i="23"/>
  <c r="H28" i="23"/>
  <c r="G29" i="23" s="1"/>
  <c r="G28" i="23"/>
  <c r="F29" i="23" s="1"/>
  <c r="G30" i="23" s="1"/>
  <c r="F28" i="23"/>
  <c r="E29" i="23" s="1"/>
  <c r="F30" i="23" s="1"/>
  <c r="F23" i="23"/>
  <c r="E23" i="23"/>
  <c r="E22" i="23"/>
  <c r="Q20" i="23"/>
  <c r="P20" i="23"/>
  <c r="O20" i="23"/>
  <c r="R20" i="23" s="1"/>
  <c r="O18" i="23"/>
  <c r="I15" i="23"/>
  <c r="I19" i="23" s="1"/>
  <c r="H14" i="23"/>
  <c r="H15" i="23" s="1"/>
  <c r="H19" i="23" s="1"/>
  <c r="G14" i="23"/>
  <c r="F14" i="23"/>
  <c r="E14" i="23"/>
  <c r="R27" i="23" s="1"/>
  <c r="M28" i="23" s="1"/>
  <c r="I13" i="23"/>
  <c r="H13" i="23"/>
  <c r="G13" i="23"/>
  <c r="G15" i="23" s="1"/>
  <c r="F13" i="23"/>
  <c r="F15" i="23" s="1"/>
  <c r="E13" i="23"/>
  <c r="R28" i="23" s="1"/>
  <c r="K28" i="23" s="1"/>
  <c r="O12" i="23"/>
  <c r="O4" i="23"/>
  <c r="M3" i="23"/>
  <c r="C29" i="24" l="1"/>
  <c r="F32" i="24" s="1"/>
  <c r="C28" i="24"/>
  <c r="F29" i="24"/>
  <c r="F28" i="24"/>
  <c r="F33" i="24" s="1"/>
  <c r="D28" i="24"/>
  <c r="D29" i="24"/>
  <c r="F31" i="24" s="1"/>
  <c r="D44" i="24"/>
  <c r="E29" i="24"/>
  <c r="F30" i="24" s="1"/>
  <c r="E28" i="24"/>
  <c r="E44" i="24"/>
  <c r="D42" i="24"/>
  <c r="E43" i="24" s="1"/>
  <c r="C43" i="24"/>
  <c r="C44" i="24" s="1"/>
  <c r="E42" i="24"/>
  <c r="F43" i="24" s="1"/>
  <c r="F42" i="24"/>
  <c r="G43" i="24" s="1"/>
  <c r="G42" i="24"/>
  <c r="H43" i="24" s="1"/>
  <c r="H44" i="24" s="1"/>
  <c r="T14" i="24" s="1"/>
  <c r="H42" i="24"/>
  <c r="I43" i="24" s="1"/>
  <c r="I44" i="24" s="1"/>
  <c r="U14" i="24" s="1"/>
  <c r="T15" i="24" s="1"/>
  <c r="I22" i="23"/>
  <c r="H20" i="23"/>
  <c r="H21" i="23"/>
  <c r="F19" i="23"/>
  <c r="P19" i="23"/>
  <c r="I21" i="23"/>
  <c r="I20" i="23"/>
  <c r="G19" i="23"/>
  <c r="Q19" i="23"/>
  <c r="L29" i="23"/>
  <c r="N29" i="23"/>
  <c r="F31" i="23"/>
  <c r="F32" i="23" s="1"/>
  <c r="Q12" i="23" s="1"/>
  <c r="Q18" i="23" s="1"/>
  <c r="G37" i="23" s="1"/>
  <c r="G31" i="23"/>
  <c r="G32" i="23" s="1"/>
  <c r="R12" i="23" s="1"/>
  <c r="E15" i="23"/>
  <c r="E28" i="23"/>
  <c r="E31" i="23" s="1"/>
  <c r="E32" i="23" s="1"/>
  <c r="P12" i="23" s="1"/>
  <c r="P18" i="23" s="1"/>
  <c r="F37" i="23" s="1"/>
  <c r="S15" i="24" l="1"/>
  <c r="T16" i="24" s="1"/>
  <c r="T17" i="24"/>
  <c r="T18" i="24" s="1"/>
  <c r="T23" i="24" s="1"/>
  <c r="O14" i="24"/>
  <c r="R37" i="24"/>
  <c r="R38" i="24" s="1"/>
  <c r="R39" i="24" s="1"/>
  <c r="R40" i="24" s="1"/>
  <c r="Q14" i="24"/>
  <c r="T37" i="24"/>
  <c r="T38" i="24" s="1"/>
  <c r="T39" i="24" s="1"/>
  <c r="T40" i="24" s="1"/>
  <c r="S37" i="24"/>
  <c r="S38" i="24" s="1"/>
  <c r="S39" i="24" s="1"/>
  <c r="S40" i="24" s="1"/>
  <c r="P14" i="24"/>
  <c r="G44" i="24"/>
  <c r="S14" i="24" s="1"/>
  <c r="F44" i="24"/>
  <c r="R14" i="24" s="1"/>
  <c r="G20" i="23"/>
  <c r="G21" i="23"/>
  <c r="I23" i="23"/>
  <c r="I24" i="23" s="1"/>
  <c r="H22" i="23"/>
  <c r="E19" i="23"/>
  <c r="O19" i="23"/>
  <c r="R18" i="23"/>
  <c r="H23" i="23"/>
  <c r="H24" i="23" s="1"/>
  <c r="F21" i="23"/>
  <c r="F20" i="23"/>
  <c r="G22" i="23"/>
  <c r="M31" i="23"/>
  <c r="O15" i="24" l="1"/>
  <c r="P16" i="24" s="1"/>
  <c r="P15" i="24"/>
  <c r="Q16" i="24" s="1"/>
  <c r="O16" i="24"/>
  <c r="O17" i="24"/>
  <c r="O18" i="24" s="1"/>
  <c r="Q15" i="24"/>
  <c r="R16" i="24" s="1"/>
  <c r="R17" i="24" s="1"/>
  <c r="R18" i="24" s="1"/>
  <c r="R15" i="24"/>
  <c r="S16" i="24" s="1"/>
  <c r="S17" i="24"/>
  <c r="S18" i="24" s="1"/>
  <c r="G24" i="23"/>
  <c r="Q17" i="23" s="1"/>
  <c r="G36" i="23" s="1"/>
  <c r="G38" i="23" s="1"/>
  <c r="R19" i="23"/>
  <c r="E37" i="23"/>
  <c r="H37" i="23" s="1"/>
  <c r="E20" i="23"/>
  <c r="G23" i="23"/>
  <c r="E21" i="23"/>
  <c r="F22" i="23"/>
  <c r="F24" i="23" s="1"/>
  <c r="P17" i="23" s="1"/>
  <c r="F36" i="23" s="1"/>
  <c r="F38" i="23" s="1"/>
  <c r="R23" i="24" l="1"/>
  <c r="S24" i="24"/>
  <c r="S23" i="24"/>
  <c r="S25" i="24" s="1"/>
  <c r="T24" i="24"/>
  <c r="T25" i="24" s="1"/>
  <c r="Q17" i="24"/>
  <c r="Q18" i="24" s="1"/>
  <c r="P24" i="24"/>
  <c r="O23" i="24"/>
  <c r="O25" i="24" s="1"/>
  <c r="P17" i="24"/>
  <c r="P18" i="24" s="1"/>
  <c r="E24" i="23"/>
  <c r="O17" i="23" s="1"/>
  <c r="P23" i="24" l="1"/>
  <c r="P25" i="24" s="1"/>
  <c r="Q24" i="24"/>
  <c r="Q23" i="24"/>
  <c r="Q25" i="24" s="1"/>
  <c r="R24" i="24"/>
  <c r="R25" i="24"/>
  <c r="R17" i="23"/>
  <c r="E36" i="23"/>
  <c r="O21" i="23"/>
  <c r="P16" i="23" s="1"/>
  <c r="R16" i="23" l="1"/>
  <c r="P21" i="23"/>
  <c r="Q16" i="23" s="1"/>
  <c r="Q21" i="23" s="1"/>
  <c r="R21" i="23" s="1"/>
  <c r="E38" i="23"/>
  <c r="H38" i="23" s="1"/>
  <c r="H36" i="23"/>
  <c r="G21" i="12" l="1"/>
  <c r="G24" i="12" s="1"/>
  <c r="G18" i="11"/>
  <c r="G21" i="11" s="1"/>
  <c r="H21" i="10"/>
  <c r="H26" i="10" s="1"/>
  <c r="E33" i="16"/>
  <c r="F33" i="16" s="1"/>
  <c r="N33" i="16" l="1"/>
  <c r="H33" i="16"/>
  <c r="J33" i="16"/>
  <c r="E27" i="16"/>
  <c r="F27" i="16" s="1"/>
  <c r="E24" i="16"/>
  <c r="F24" i="16" s="1"/>
  <c r="N24" i="16" s="1"/>
  <c r="N25" i="16" s="1"/>
  <c r="D27" i="16"/>
  <c r="N23" i="16"/>
  <c r="N22" i="16"/>
  <c r="N34" i="16" s="1"/>
  <c r="N21" i="16"/>
  <c r="L33" i="16"/>
  <c r="E30" i="16"/>
  <c r="F30" i="16" s="1"/>
  <c r="L23" i="16"/>
  <c r="J23" i="16"/>
  <c r="H23" i="16"/>
  <c r="L22" i="16"/>
  <c r="J22" i="16"/>
  <c r="H22" i="16"/>
  <c r="J27" i="16" l="1"/>
  <c r="J28" i="16" s="1"/>
  <c r="H27" i="16"/>
  <c r="H28" i="16" s="1"/>
  <c r="N27" i="16"/>
  <c r="L27" i="16"/>
  <c r="L28" i="16" s="1"/>
  <c r="N28" i="16"/>
  <c r="L34" i="16"/>
  <c r="L24" i="16"/>
  <c r="L25" i="16" s="1"/>
  <c r="J24" i="16"/>
  <c r="H24" i="16"/>
  <c r="H25" i="16" s="1"/>
  <c r="J25" i="16"/>
  <c r="J34" i="16"/>
  <c r="H34" i="16"/>
  <c r="E23" i="12"/>
  <c r="F23" i="12" s="1"/>
  <c r="L21" i="12"/>
  <c r="E20" i="12"/>
  <c r="F20" i="12" s="1"/>
  <c r="E17" i="12"/>
  <c r="F17" i="12" s="1"/>
  <c r="L16" i="12"/>
  <c r="J16" i="12"/>
  <c r="H16" i="12"/>
  <c r="L15" i="12"/>
  <c r="J15" i="12"/>
  <c r="H15" i="12"/>
  <c r="E20" i="11"/>
  <c r="F20" i="11" s="1"/>
  <c r="E17" i="11"/>
  <c r="F17" i="11" s="1"/>
  <c r="E14" i="11"/>
  <c r="F14" i="11" s="1"/>
  <c r="J13" i="11"/>
  <c r="H13" i="11"/>
  <c r="J12" i="11"/>
  <c r="H12" i="11"/>
  <c r="D25" i="10"/>
  <c r="F25" i="10" s="1"/>
  <c r="G25" i="10" s="1"/>
  <c r="G24" i="10"/>
  <c r="G23" i="10"/>
  <c r="E20" i="10"/>
  <c r="G20" i="10" s="1"/>
  <c r="D20" i="10"/>
  <c r="G19" i="10"/>
  <c r="G18" i="10"/>
  <c r="G15" i="10"/>
  <c r="G14" i="10"/>
  <c r="G13" i="10"/>
  <c r="G16" i="10" s="1"/>
  <c r="G26" i="10" l="1"/>
  <c r="L17" i="12"/>
  <c r="L18" i="12" s="1"/>
  <c r="J17" i="12"/>
  <c r="J18" i="12" s="1"/>
  <c r="H17" i="12"/>
  <c r="J20" i="12"/>
  <c r="J21" i="12" s="1"/>
  <c r="H20" i="12"/>
  <c r="H21" i="12" s="1"/>
  <c r="H18" i="12"/>
  <c r="J24" i="12"/>
  <c r="L23" i="12"/>
  <c r="L24" i="12" s="1"/>
  <c r="H23" i="12"/>
  <c r="H24" i="12" s="1"/>
  <c r="J23" i="12"/>
  <c r="H14" i="11"/>
  <c r="H15" i="11" s="1"/>
  <c r="J14" i="11"/>
  <c r="J15" i="11" s="1"/>
  <c r="J17" i="11"/>
  <c r="J18" i="11" s="1"/>
  <c r="H17" i="11"/>
  <c r="H18" i="11" s="1"/>
  <c r="H20" i="11"/>
  <c r="H21" i="11" s="1"/>
  <c r="J20" i="11"/>
  <c r="J21" i="11" s="1"/>
  <c r="G21" i="10"/>
  <c r="E24" i="2" l="1"/>
  <c r="D24" i="2"/>
  <c r="E23" i="2"/>
  <c r="D23" i="2"/>
  <c r="L22" i="2"/>
  <c r="J22" i="2"/>
  <c r="H22" i="2"/>
  <c r="G22" i="2"/>
  <c r="L17" i="2"/>
  <c r="J17" i="2"/>
  <c r="H17" i="2"/>
  <c r="G17" i="2"/>
  <c r="C14" i="2"/>
  <c r="O13" i="2"/>
  <c r="N13" i="2"/>
  <c r="K13" i="2"/>
  <c r="I13" i="2"/>
  <c r="G13" i="2"/>
  <c r="N12" i="2"/>
  <c r="K12" i="2"/>
  <c r="I12" i="2"/>
  <c r="O12" i="2" s="1"/>
  <c r="G12" i="2"/>
  <c r="N11" i="2"/>
  <c r="M11" i="2"/>
  <c r="M14" i="2" s="1"/>
  <c r="L18" i="2" s="1"/>
  <c r="K11" i="2"/>
  <c r="K14" i="2" s="1"/>
  <c r="J18" i="2" s="1"/>
  <c r="I11" i="2"/>
  <c r="I14" i="2" s="1"/>
  <c r="H18" i="2" s="1"/>
  <c r="G11" i="2"/>
  <c r="G14" i="2" s="1"/>
  <c r="G18" i="2" s="1"/>
  <c r="E5" i="2"/>
  <c r="E4" i="2"/>
  <c r="L23" i="2" l="1"/>
  <c r="L24" i="2"/>
  <c r="G23" i="2"/>
  <c r="G24" i="2"/>
  <c r="H24" i="2"/>
  <c r="H23" i="2"/>
  <c r="H25" i="2" s="1"/>
  <c r="J24" i="2"/>
  <c r="J23" i="2"/>
  <c r="J25" i="2" s="1"/>
  <c r="O11" i="2"/>
  <c r="O14" i="2" s="1"/>
  <c r="M27" i="2" l="1"/>
  <c r="G25" i="2"/>
  <c r="O23" i="2"/>
  <c r="P23" i="2" s="1"/>
  <c r="O24" i="2"/>
  <c r="P24" i="2" s="1"/>
  <c r="L25" i="2"/>
</calcChain>
</file>

<file path=xl/sharedStrings.xml><?xml version="1.0" encoding="utf-8"?>
<sst xmlns="http://schemas.openxmlformats.org/spreadsheetml/2006/main" count="1323" uniqueCount="867">
  <si>
    <t>per purchase order</t>
  </si>
  <si>
    <t>per hour</t>
  </si>
  <si>
    <r>
      <t xml:space="preserve">Problem 5-39 </t>
    </r>
    <r>
      <rPr>
        <sz val="11"/>
        <color theme="1"/>
        <rFont val="Calibri"/>
        <family val="2"/>
        <scheme val="minor"/>
      </rPr>
      <t>Information given in the problem is highlighted in blue</t>
    </r>
  </si>
  <si>
    <t>Safe-V Product</t>
  </si>
  <si>
    <t>Safe-T Product</t>
  </si>
  <si>
    <t>Total</t>
  </si>
  <si>
    <t>Steps in Activity-Based Costing</t>
  </si>
  <si>
    <t>Batches</t>
  </si>
  <si>
    <t>Identify the resources used and find their costs.</t>
  </si>
  <si>
    <t>Units</t>
  </si>
  <si>
    <t>Identify activities.</t>
  </si>
  <si>
    <t>Finishing hours, per unit</t>
  </si>
  <si>
    <t>Determine resource drivers.</t>
  </si>
  <si>
    <t>Packaging hours, per unit</t>
  </si>
  <si>
    <t>Divide/apportion the resource costs across the activities using resource drivers.</t>
  </si>
  <si>
    <t>Materials per unit</t>
  </si>
  <si>
    <t>Identify the activity cost drivers and counts.</t>
  </si>
  <si>
    <t>Activity 1</t>
  </si>
  <si>
    <t>Activity 2</t>
  </si>
  <si>
    <t>Activity 3</t>
  </si>
  <si>
    <t>Activity 4</t>
  </si>
  <si>
    <t>Determine the rate per unit of activity driver for each of activities.</t>
  </si>
  <si>
    <t>Resources - factory conversion costs</t>
  </si>
  <si>
    <t>Resource Driver</t>
  </si>
  <si>
    <t>Job setup</t>
  </si>
  <si>
    <t>Assembly</t>
  </si>
  <si>
    <t>Inspecting &amp; Finishing</t>
  </si>
  <si>
    <t>Packaging</t>
  </si>
  <si>
    <t>total</t>
  </si>
  <si>
    <t>Assign costs to cost object(s) based on how many "activity driver units" each consumed.</t>
  </si>
  <si>
    <t>Salaries</t>
  </si>
  <si>
    <t>% time spent</t>
  </si>
  <si>
    <t>Supplies</t>
  </si>
  <si>
    <t>% usage</t>
  </si>
  <si>
    <t>Factory expense</t>
  </si>
  <si>
    <t>Total Activity Cost</t>
  </si>
  <si>
    <t>Activity Cost Driver</t>
  </si>
  <si>
    <t># of batches</t>
  </si>
  <si>
    <t># of units</t>
  </si>
  <si>
    <t># of finishing hours</t>
  </si>
  <si>
    <t># of packaging hours</t>
  </si>
  <si>
    <t>NEED TOTAL COUNTS (both products) =&gt;</t>
  </si>
  <si>
    <t>Activity Rates</t>
  </si>
  <si>
    <t>per batch</t>
  </si>
  <si>
    <t>per unit</t>
  </si>
  <si>
    <t>Direct Materials</t>
  </si>
  <si>
    <t>Labor + Manufacturing Overhead</t>
  </si>
  <si>
    <t>Total Mfg Costs</t>
  </si>
  <si>
    <t>Per Unit</t>
  </si>
  <si>
    <t>Total OH</t>
  </si>
  <si>
    <t>a)</t>
  </si>
  <si>
    <t>b)</t>
  </si>
  <si>
    <t>c)</t>
  </si>
  <si>
    <t>d)</t>
  </si>
  <si>
    <t>W1.</t>
  </si>
  <si>
    <t>Widget.com is a company that produces and sells widgets.</t>
  </si>
  <si>
    <t xml:space="preserve">They currently only make one homogenious type of widget.  </t>
  </si>
  <si>
    <t>Widgets are made partially by hand and partially by machine.</t>
  </si>
  <si>
    <t>Each Widget requires 2kg of materials, 1 labor hour and 0.5 machine hours</t>
  </si>
  <si>
    <t>Material cost: $5/kg; Labor is $10/hr.</t>
  </si>
  <si>
    <t>The Company expects to incur $100,000 of manufacturing overhead this year and produce 10,000 widgets</t>
  </si>
  <si>
    <t>What is the cost of one unit of each Widget?</t>
  </si>
  <si>
    <t>What allocation method did you use? Why?</t>
  </si>
  <si>
    <t>1 unit</t>
  </si>
  <si>
    <t>DM</t>
  </si>
  <si>
    <t>DL</t>
  </si>
  <si>
    <t>MOH # units as base</t>
  </si>
  <si>
    <t>MOH DL hrs as base</t>
  </si>
  <si>
    <t>MOH MHrs as base</t>
  </si>
  <si>
    <t>per Mhr</t>
  </si>
  <si>
    <t>W2.</t>
  </si>
  <si>
    <t>Widget.com is a company that produces and sells two different products: Widgets &amp; Gizmos.</t>
  </si>
  <si>
    <t>Both widgets and gizmos are made partially by hand and partially by machine.  Each widget</t>
  </si>
  <si>
    <t>requires 2kg of material, 1 labor hour, and 0.5 machine hours.  Gizmos are a little more</t>
  </si>
  <si>
    <t xml:space="preserve">sophisticated and require 3kg of materials, 1.5 hours of labor and 1 machine hour. The </t>
  </si>
  <si>
    <t>material cost $5/kg and labor is paid $10/hr.</t>
  </si>
  <si>
    <t>The company expects to incur $100,000 of manufacting overhead this year and produce 7,000 widgets and 3,000 gizmos.</t>
  </si>
  <si>
    <t>What is the cost of one unit of each Widget and each Gizmo?</t>
  </si>
  <si>
    <t>Which allocation method did you use? Why?</t>
  </si>
  <si>
    <t>TOTAL Cost</t>
  </si>
  <si>
    <t>TOTAL Quantity</t>
  </si>
  <si>
    <t>OH Allocation Rate</t>
  </si>
  <si>
    <t>Widget</t>
  </si>
  <si>
    <t>Gizmo</t>
  </si>
  <si>
    <t>MOH DLhrs as base</t>
  </si>
  <si>
    <t>per DL hr</t>
  </si>
  <si>
    <t>MOH Mhrs as base</t>
  </si>
  <si>
    <t>MOH Units as base</t>
  </si>
  <si>
    <t>W3.</t>
  </si>
  <si>
    <t>Widget.com is a company that produces and sells three different products: Widgets, Gizmos, and Doodads.</t>
  </si>
  <si>
    <t>Both Widgets and Gizmos are made partially by hand and partially by machine, while doodads are exclusively made by hand.</t>
  </si>
  <si>
    <t>Each Widget requires 2kg of materials, 1 labor hour and 0.5 machine hours.</t>
  </si>
  <si>
    <t>Gizmos are a little more sophisticated and require 3kg of materials, 1.5 hours of labor and 1 machine hour.</t>
  </si>
  <si>
    <t>Doodads also require 3kg of materials and take 2.5 hours of labor.</t>
  </si>
  <si>
    <t xml:space="preserve">The material cost $5/kg and labor is paid $10/hour.  </t>
  </si>
  <si>
    <t>The company expects to incure $100,000 of overhead this yearand product 6,000 widgets, 3,000 gizmos, and 1,000 doodads.</t>
  </si>
  <si>
    <t>What is the cost of one unit of each of the three products?</t>
  </si>
  <si>
    <t>Doodad</t>
  </si>
  <si>
    <t>DO NOT USE THIS ALLOCATION BASE</t>
  </si>
  <si>
    <t>W4.</t>
  </si>
  <si>
    <t>Widget.com is a company that produces and sells four different products: Widgets, Gizmos, Doodads, and Thingamabobs.</t>
  </si>
  <si>
    <t>Both Widgets, Gizmos, &amp; Thingamabobs are made partially by hand and partially by machine.</t>
  </si>
  <si>
    <t>Doodads are exclusively made by hand.</t>
  </si>
  <si>
    <t>Below is a table showing the resource requirements of each product on a per unit basis:</t>
  </si>
  <si>
    <t>Widgets</t>
  </si>
  <si>
    <t>Gizmos</t>
  </si>
  <si>
    <t>Doodads</t>
  </si>
  <si>
    <t>Thingamabob</t>
  </si>
  <si>
    <t>Material / unit</t>
  </si>
  <si>
    <t>2kg</t>
  </si>
  <si>
    <t>3kg</t>
  </si>
  <si>
    <t>Material Cost / kg</t>
  </si>
  <si>
    <t>Labor Hours / Unit</t>
  </si>
  <si>
    <t>Machine Hrs / Unit</t>
  </si>
  <si>
    <t>Annual Production</t>
  </si>
  <si>
    <t>Labor for the widgets gizmos and doodads is paid $10/hour, however the production of the thingamabobs requires a special skill set</t>
  </si>
  <si>
    <t xml:space="preserve">that is a bit more resource intensive. </t>
  </si>
  <si>
    <t>Widget, Gizmo, Doodad $DL/hour</t>
  </si>
  <si>
    <t>Thingamabob $DL/hour</t>
  </si>
  <si>
    <t>The company expects to incure $100,000 of overhead this yearand product 5,000 widgets, 3,000 gizmos, 1,000 doodads, and 1,000 Thingamabobs</t>
  </si>
  <si>
    <t>What is the cost of one unit of each of the products?</t>
  </si>
  <si>
    <t>Answer these 4 questions and be prepared to discuss in class:</t>
  </si>
  <si>
    <t xml:space="preserve">In these four example, up to 4 different volume drivers were presented </t>
  </si>
  <si>
    <t xml:space="preserve">Volume Drivers are: </t>
  </si>
  <si>
    <t>Units Manufactured</t>
  </si>
  <si>
    <t>Direct Labor Hours</t>
  </si>
  <si>
    <t>Machine Hours</t>
  </si>
  <si>
    <t>Direct Labor Dollars</t>
  </si>
  <si>
    <t>1)</t>
  </si>
  <si>
    <t>Which of them was the "best" or most appropriate to use to fairly allocated shared overhead costs?</t>
  </si>
  <si>
    <t>Explain.</t>
  </si>
  <si>
    <t>Group 6 tab</t>
  </si>
  <si>
    <t>When only one product was made, all three ovh allocation methods produced the same unit cost result.  Therefore each of them was appropriate to allocate overhead</t>
  </si>
  <si>
    <t>Group 7 tab</t>
  </si>
  <si>
    <t>Widgets &amp; Gizmos</t>
  </si>
  <si>
    <t>Overhead per unit varied significantly over the three allocation methods.  The "best" method would be the one that assigns overhead using the volume driver that "best" consumes or causes</t>
  </si>
  <si>
    <t>the overhead to increase with an increase in use</t>
  </si>
  <si>
    <t>If overhead was driven mostly by the use of machinery, then machine hours should be used to allocate overhead.  If direct labor hours drove or consumed the overhead, then DL hours should be used.</t>
  </si>
  <si>
    <t>Group 8 tab</t>
  </si>
  <si>
    <t>Widgets, Gizmos, &amp; Doodads</t>
  </si>
  <si>
    <t>Allocating overhead by units producted an overall unit cost of $30, $40, &amp; $50 for Widgets, Gizmos, &amp; Doodads, respectively.</t>
  </si>
  <si>
    <t>The cost differences were all caused by the amounts of material and labor used in each product.  Overhead cost / unit was $10 for all three products</t>
  </si>
  <si>
    <t>Allocating overhead based on direct labor hours, produced an overhead cost per unit of $7.69, $11.54, and $19.23 for Widgets, Gizmos, and Doodads, respectively.</t>
  </si>
  <si>
    <t>The more direct labor is used to make a product, the more overhead that product gets allocated.</t>
  </si>
  <si>
    <t>Thus the widget unit cost decreases (vs. when overhead was allocated based on units), while Gizmos and Doodad unit cost increases.</t>
  </si>
  <si>
    <t xml:space="preserve">If machine hours is used to allocate overhead, a problem is immediately evident.  Namely, doodads are produced without using any machines.  </t>
  </si>
  <si>
    <t>Therefore they do not incur any machine hours in production.  Using machine hours to allocate overhead to the three products would be a poor choice.</t>
  </si>
  <si>
    <t>Group 9 tab</t>
  </si>
  <si>
    <t>Widgets, Gizmos, Doodads, &amp; Thingamabobs</t>
  </si>
  <si>
    <t>Doodads continue not to use machines (and machine hours) during their production, so machine hours would not be a useful overhead allocation technique.</t>
  </si>
  <si>
    <t>Meanwhile, Thingamabobs require more costly labor during their production.</t>
  </si>
  <si>
    <t>Therefore, using direct labor $ and not direct labor hours to allocate overhead might be the most appropriate choice.</t>
  </si>
  <si>
    <t>2)</t>
  </si>
  <si>
    <t>Did the "best" or most appropriate volume driver change as the production volume of a particular product changed?</t>
  </si>
  <si>
    <t>In all 4 examples, overhead of $100,000 did not change.  It was also unclear whether this $100,000 of overhead would increase if production volumes increased.</t>
  </si>
  <si>
    <t>It seems likely some amount of overhead would increase with an increase in production volume, but it cannot be computed with the few facts stated.</t>
  </si>
  <si>
    <r>
      <rPr>
        <b/>
        <i/>
        <u/>
        <sz val="12"/>
        <color theme="1"/>
        <rFont val="Calibri"/>
        <family val="2"/>
        <scheme val="minor"/>
      </rPr>
      <t xml:space="preserve">Overhead per unit </t>
    </r>
    <r>
      <rPr>
        <sz val="12"/>
        <color theme="1"/>
        <rFont val="Calibri"/>
        <family val="2"/>
        <scheme val="minor"/>
      </rPr>
      <t>did change as the products requiring more of that volume driver changed.  Which means products which require more of a specific volume driver</t>
    </r>
  </si>
  <si>
    <t>will be assigned more overhead if that volume driver is used as the single overhead allocation rate.</t>
  </si>
  <si>
    <t>3)</t>
  </si>
  <si>
    <t>Did the "best" or most appropriate volume driver change as the number of products manufactured change?</t>
  </si>
  <si>
    <t>As the number of products manufactured increased, the differences in the production processes used to make each product became apparent.</t>
  </si>
  <si>
    <t>Each product required different levels of material, effort (labor), and machine use.  One product is manufactured totally by hand.</t>
  </si>
  <si>
    <t>As a result, it made determining the best overhead allocation technique to use more difficult.</t>
  </si>
  <si>
    <t>4)</t>
  </si>
  <si>
    <t>What is the "best" way to select a volume cost driver to allocated shared overhead to products manufactured?</t>
  </si>
  <si>
    <t>When all products use the same or similar production processes, and take or use similar amounts of materials and labor,</t>
  </si>
  <si>
    <t>allocating overhead based on units produced is easy and probably the most appropriate.</t>
  </si>
  <si>
    <t xml:space="preserve">However, when the manufacturing processes differ and products require different amounts of labor and / or machine use, </t>
  </si>
  <si>
    <t>the selecting the overhead rate that assigns overhead costs based on the amounts of resources used (labor, machine time, etc.) would seem more appropriate.</t>
  </si>
  <si>
    <t>Therefore, as the number of products manufactured increase, the probability of different manufacturing processes used will also increased.</t>
  </si>
  <si>
    <t>And to assign shared overhead "fairly", overhead should be further analyzed, split into more specific groups, like departments, and if possible identified to specific manufacturing activies</t>
  </si>
  <si>
    <t xml:space="preserve">While this requires more work to analyze overhead this way, assigning overhead based on manufacturing activites is necessary when a variety of products using different </t>
  </si>
  <si>
    <t>manufacturing processes are being manufactured.</t>
  </si>
  <si>
    <t>This is called Activity Based Costing, (ABC) which will be discussed in the next two MAC sessions.</t>
  </si>
  <si>
    <t>Allocation based on machine hours.</t>
  </si>
  <si>
    <t>Since Doodads are made exclusively by hand, machine hours cannot be used to allocate overhead.</t>
  </si>
  <si>
    <t xml:space="preserve">Machine hours could be used, only if the overhead specific to widgets, gizmos, and thing-a-ma-bobs could identified and quantified.  </t>
  </si>
  <si>
    <t>Then, and only then, could machine based overhead be allocated to Widgets, Gizmos, and Thing-a-ma-bobs.</t>
  </si>
  <si>
    <t>And if overhead could be so identified, then overhead specific to Doodads would also then be identified and allocated solely to that product.</t>
  </si>
  <si>
    <t xml:space="preserve">DO NOT USE </t>
  </si>
  <si>
    <t>MOH DL $ as base</t>
  </si>
  <si>
    <t>per DL $$$$$</t>
  </si>
  <si>
    <t>CANNOT BE USED</t>
  </si>
  <si>
    <t>Mfg cost per unit</t>
  </si>
  <si>
    <t>Resource</t>
  </si>
  <si>
    <t>Driver Rate</t>
  </si>
  <si>
    <t>Utilities</t>
  </si>
  <si>
    <t xml:space="preserve">ABB Practice Problem 1 </t>
  </si>
  <si>
    <t>Music Boxes Incorporated (MBI) is a U.S. distributor for wind up music boxes that it buys from Swiss manufacturers. Projected sales for October through March are as follows:</t>
  </si>
  <si>
    <t>Collections</t>
  </si>
  <si>
    <t>October</t>
  </si>
  <si>
    <t>November</t>
  </si>
  <si>
    <t>December</t>
  </si>
  <si>
    <t>January</t>
  </si>
  <si>
    <t>February</t>
  </si>
  <si>
    <t>Total Sales</t>
  </si>
  <si>
    <t>Cash - paper</t>
  </si>
  <si>
    <t>Cash - Cred Card</t>
  </si>
  <si>
    <t>next month</t>
  </si>
  <si>
    <t xml:space="preserve">2nd month </t>
  </si>
  <si>
    <t>Units Sold</t>
  </si>
  <si>
    <t>Outlet store sales</t>
  </si>
  <si>
    <t>Warehouse sales</t>
  </si>
  <si>
    <t>Price per Unit</t>
  </si>
  <si>
    <t>cr card fee</t>
  </si>
  <si>
    <t>MBI has an outlet store where it sells to the general public in addition to the distribution warehouse where it sells to retailers around the country. Historically, 20% of monthly sales are made out of the outlet store. These sales are either in cash or visa credit cards. Credit card sales are for full price, but MBI must pay a 1.5% fee to the credit card companies on each sale. Three-quarters of the outlet store sales are credit card sales.  All of the sales made to retail stores are on "trade credit." When MBI ships goods to the retail stores, it also sends an invoice. Of the sales on trade credit, 40% is collected in the month after the sale and the remaining 60% is collected in the second month after the sale. August and September trade credit sales were $30,000 and $36,000 respectively.</t>
  </si>
  <si>
    <t xml:space="preserve">MBI has an inventory policy to have enough inventory on hand (in units) at month end to cover the next two months of sales. </t>
  </si>
  <si>
    <t>MBI has 6,000 units in inventory at the end of September. MBI pays the Swiss manufacturer 30 days after it receives goods from them. Each music box costs $18.00.</t>
  </si>
  <si>
    <t xml:space="preserve">September purchases were </t>
  </si>
  <si>
    <t>MBI incurs variable SG&amp;A expense each month of 10% for commissions on gross sales in dollars; In addition, MBI has fixed monthly SG&amp;A expenses of $25,000 including $3,000 of depreciation expense. All SG&amp;A expenses are paid in the month in which they are  incurred.</t>
  </si>
  <si>
    <t>1. What are total gross sales $ (before cash discount) for October, November and December?</t>
  </si>
  <si>
    <t>4. What are cash payments for purchases for October, November and December?</t>
  </si>
  <si>
    <t>August</t>
  </si>
  <si>
    <t>September</t>
  </si>
  <si>
    <t>Cash Payments for music boxes</t>
  </si>
  <si>
    <t>5. Prepare a Statement of Cash Flows for October, November, December and the quarter. Assume beginning cash balance in October was $200,000.</t>
  </si>
  <si>
    <t>Gross Sales</t>
  </si>
  <si>
    <t>Quarter</t>
  </si>
  <si>
    <t>Beginning Cash</t>
  </si>
  <si>
    <t>2. What are cash collections for October, November and December?</t>
  </si>
  <si>
    <t xml:space="preserve">Cash Collections </t>
  </si>
  <si>
    <t>Cash Disbursements for Inventory Purchases from Q. 4</t>
  </si>
  <si>
    <t>Sales Commissions</t>
  </si>
  <si>
    <t>Cash Sales - paper</t>
  </si>
  <si>
    <t>Cash Disbursements for SG&amp;A Expenses *</t>
  </si>
  <si>
    <t>Cash Sales - Credit Card Sales</t>
  </si>
  <si>
    <t>Ending Cash Balance</t>
  </si>
  <si>
    <t>Trade Credit - next month</t>
  </si>
  <si>
    <t>* Don't forget to subtract $3,000 non-cash depreciation expense from total SG&amp;A expense</t>
  </si>
  <si>
    <t>Trade Credit - 2nd month</t>
  </si>
  <si>
    <t>Total Cash Collections</t>
  </si>
  <si>
    <t>6. Assume actual sales for October were 2,100 units at $29 per unit. Use variance analysis to explain the difference between budget and actual sales.</t>
  </si>
  <si>
    <r>
      <t>3. What are purchases</t>
    </r>
    <r>
      <rPr>
        <b/>
        <sz val="10"/>
        <color rgb="FFFF0000"/>
        <rFont val="Arial"/>
        <family val="2"/>
      </rPr>
      <t xml:space="preserve"> in units</t>
    </r>
    <r>
      <rPr>
        <b/>
        <sz val="10"/>
        <rFont val="Arial"/>
        <family val="2"/>
      </rPr>
      <t xml:space="preserve"> and </t>
    </r>
    <r>
      <rPr>
        <b/>
        <sz val="10"/>
        <color rgb="FFFF0000"/>
        <rFont val="Arial"/>
        <family val="2"/>
      </rPr>
      <t>$</t>
    </r>
    <r>
      <rPr>
        <b/>
        <sz val="10"/>
        <rFont val="Arial"/>
        <family val="2"/>
      </rPr>
      <t xml:space="preserve"> for October, November and December?</t>
    </r>
  </si>
  <si>
    <t>Budgeted</t>
  </si>
  <si>
    <t>Volume Variance</t>
  </si>
  <si>
    <t>Actual @ BP</t>
  </si>
  <si>
    <t>Price variance</t>
  </si>
  <si>
    <t>Actual</t>
  </si>
  <si>
    <t>BQ x BP</t>
  </si>
  <si>
    <t>AQ x BP</t>
  </si>
  <si>
    <t>AQ x AP</t>
  </si>
  <si>
    <t>BP per unit</t>
  </si>
  <si>
    <t>Planned Sales (units)</t>
  </si>
  <si>
    <t>Budgeted units</t>
  </si>
  <si>
    <t>Required Ending Inventory</t>
  </si>
  <si>
    <t>Actual price per unit</t>
  </si>
  <si>
    <t>less: Beginning Inventory</t>
  </si>
  <si>
    <t>Favorable</t>
  </si>
  <si>
    <t>Unfavorable</t>
  </si>
  <si>
    <t>Actual units</t>
  </si>
  <si>
    <t>Required Purchases</t>
  </si>
  <si>
    <t>Purchases Value in $</t>
  </si>
  <si>
    <t>Total Variance = Favorable</t>
  </si>
  <si>
    <t>8. What recommendations would you make to MBI management to improve their operations?</t>
  </si>
  <si>
    <t>Budget Sales = 2,000 units * $30 = $60,000</t>
  </si>
  <si>
    <t xml:space="preserve">Actual Sales  = 2,100 units * $29 = $60,900 </t>
  </si>
  <si>
    <t>Cash Inflows</t>
  </si>
  <si>
    <t>Difference</t>
  </si>
  <si>
    <t xml:space="preserve"> $     900 favorable</t>
  </si>
  <si>
    <t>Cash Outflows</t>
  </si>
  <si>
    <t>Net Change in Cash</t>
  </si>
  <si>
    <t>Sales Volume Variance = (Actual - Budget) units * Budget price per unit = 100*$30 = $3,000 favorable</t>
  </si>
  <si>
    <t>Sales Price Variance = Actual units * (Actual - Budget) price per unit = 2,100*($1) = $(2,100) unfav.</t>
  </si>
  <si>
    <t>Mgmt has a serious cash flow problem in October and November. Net cash outflows for the quarter = -138,891.</t>
  </si>
  <si>
    <t>Mgmt must: Reassess credit policies towards trade customers</t>
  </si>
  <si>
    <t>Selling 100 additional units should have generated $3,000 more revenue; however, due to the price</t>
  </si>
  <si>
    <t>48% (60% * 80%) of A/R are not collected until 2 months after sale.</t>
  </si>
  <si>
    <t>reduction of $1 per unit, $2,100 of revenue was lost leaving a net gain of $900 favorable</t>
  </si>
  <si>
    <t>Are they too lax in pursuing payment from retailers?</t>
  </si>
  <si>
    <t>Could they offer a discount to wholesale customers for payment within 15 days? 30 days?</t>
  </si>
  <si>
    <t>Re-assess inventory policy</t>
  </si>
  <si>
    <t>Carrying 2 months of future sales in ending inventory is costly and risky</t>
  </si>
  <si>
    <t>Is risk of stockout very high? Is replishment time from supplier very long? Monthly purchase schedule suggests not.</t>
  </si>
  <si>
    <t>December Ending Invenory will be sold at reduced selling prices in Jan ($3) &amp; Feb ($6)</t>
  </si>
  <si>
    <t>Cutting inventory back to one month of sales would reduce cash outflows significantly</t>
  </si>
  <si>
    <t>Reassess pricing policies/commission rates</t>
  </si>
  <si>
    <t>Why are prices falling?</t>
  </si>
  <si>
    <t>Why pay commissions on gross sales rather than net or GM?</t>
  </si>
  <si>
    <t>Should outlet store prices match the prices to wholesale customers (i.e., the retailers?)</t>
  </si>
  <si>
    <t>Don't outlet store customers want a lower price than they would see at a retailer? How much could outlet store prices be raised and still have that effect?</t>
  </si>
  <si>
    <t>Q2</t>
  </si>
  <si>
    <t>Q3</t>
  </si>
  <si>
    <t>Q4</t>
  </si>
  <si>
    <t>April</t>
  </si>
  <si>
    <t>May</t>
  </si>
  <si>
    <t>June</t>
  </si>
  <si>
    <t>July</t>
  </si>
  <si>
    <t>Aug</t>
  </si>
  <si>
    <t>Sept</t>
  </si>
  <si>
    <t>Oct</t>
  </si>
  <si>
    <t>Nov</t>
  </si>
  <si>
    <t>Dec</t>
  </si>
  <si>
    <t>Budget</t>
  </si>
  <si>
    <t>#s</t>
  </si>
  <si>
    <t>$/#</t>
  </si>
  <si>
    <t>Sales $ Budget</t>
  </si>
  <si>
    <t>Sales Variance Analysis, Act vs. Budget for the month of July</t>
  </si>
  <si>
    <t>Purchasing Budget # &amp; $- April through September</t>
  </si>
  <si>
    <t xml:space="preserve">Sales Volume Variance = (Actual - Budget) units * Budget price per unit = </t>
  </si>
  <si>
    <t>favorable</t>
  </si>
  <si>
    <t>Purchasing</t>
  </si>
  <si>
    <t>Cost per pound of down feathers = $60</t>
  </si>
  <si>
    <t xml:space="preserve">Sales Price Variance = Actual units * (Actual - Budget) price per unit = </t>
  </si>
  <si>
    <t>unfavorable</t>
  </si>
  <si>
    <t>of next month's production in raw materials ending inventory</t>
  </si>
  <si>
    <t xml:space="preserve">Total Sales Variance = </t>
  </si>
  <si>
    <t>LBS of down = RM</t>
  </si>
  <si>
    <t>Collections Budget, July</t>
  </si>
  <si>
    <t xml:space="preserve">Add Ending RM </t>
  </si>
  <si>
    <t>of each month's sales are made by credit card, thereby collected in the month of sale,.</t>
  </si>
  <si>
    <t xml:space="preserve">Less Beginning RM </t>
  </si>
  <si>
    <t xml:space="preserve">Collections from credit card companies, typically are received with a 2.5% fee assessed </t>
  </si>
  <si>
    <t>RM Purchases Required</t>
  </si>
  <si>
    <t>on each $ of sale.</t>
  </si>
  <si>
    <t>RM COST of RM purchased</t>
  </si>
  <si>
    <t xml:space="preserve">The remaining monthly sales are on merchant credit </t>
  </si>
  <si>
    <t>of each month's credit sales are collected 1 month after the sale</t>
  </si>
  <si>
    <t>Vendor Payments</t>
  </si>
  <si>
    <t>Pay Vendors 20% current mo @ 2% disc; 80% in next month after purchase</t>
  </si>
  <si>
    <t>of each month's credit sales are collected 2 months after the sale</t>
  </si>
  <si>
    <t>Assume there were $120,000 in remaining March purchases to be paid in April</t>
  </si>
  <si>
    <t>of each month's credit sales are initially uncollected, until given to a collections agency</t>
  </si>
  <si>
    <t>of uncollected accounts given to collections agencies are collected by those agencies</t>
  </si>
  <si>
    <t>Payment in current month's purchasing</t>
  </si>
  <si>
    <t>and split(50/50) with the company 3 months after the sale</t>
  </si>
  <si>
    <t>Payment of the previous month's purchasing</t>
  </si>
  <si>
    <t>Total Payment</t>
  </si>
  <si>
    <t>Direct Labor Budget for Q2</t>
  </si>
  <si>
    <t>Credit Card Collections</t>
  </si>
  <si>
    <t>Labor</t>
  </si>
  <si>
    <t>1 pair</t>
  </si>
  <si>
    <t>2 workers are required to fully assemble a coat</t>
  </si>
  <si>
    <t>Trade Credit</t>
  </si>
  <si>
    <t>8 min</t>
  </si>
  <si>
    <t>Each worker takes 8 minutes to complete a jacket</t>
  </si>
  <si>
    <t>Trade Credit Collections</t>
  </si>
  <si>
    <t>48 min</t>
  </si>
  <si>
    <t xml:space="preserve">Workers are productive 48 minutes of each hour.  </t>
  </si>
  <si>
    <t>Remaining 12 minutes are for rest, breaks, etc.</t>
  </si>
  <si>
    <t>workers are paid $20.00 / hr plus 15% for fringe benefits</t>
  </si>
  <si>
    <t>40 hrs / Week</t>
  </si>
  <si>
    <r>
      <t>Workers work 40 hrs per week with no overtime,</t>
    </r>
    <r>
      <rPr>
        <b/>
        <i/>
        <u/>
        <sz val="14"/>
        <color theme="1"/>
        <rFont val="Calibri"/>
        <family val="2"/>
        <scheme val="minor"/>
      </rPr>
      <t xml:space="preserve"> must</t>
    </r>
    <r>
      <rPr>
        <sz val="14"/>
        <color theme="1"/>
        <rFont val="Calibri"/>
        <family val="2"/>
        <scheme val="minor"/>
      </rPr>
      <t xml:space="preserve"> work in pairs</t>
    </r>
  </si>
  <si>
    <t>13 Weeks</t>
  </si>
  <si>
    <t xml:space="preserve">Each Qtr has 13 weeks.  </t>
  </si>
  <si>
    <t>Production Budget - April through September</t>
  </si>
  <si>
    <t>Production</t>
  </si>
  <si>
    <t>of next month's sales in finished goods ending inventory</t>
  </si>
  <si>
    <t>32 oz (2lb)</t>
  </si>
  <si>
    <t>of down required per coat</t>
  </si>
  <si>
    <r>
      <t xml:space="preserve">Production </t>
    </r>
    <r>
      <rPr>
        <sz val="14"/>
        <color rgb="FFFF0000"/>
        <rFont val="Calibri"/>
        <family val="2"/>
        <scheme val="minor"/>
      </rPr>
      <t>FG UNITS</t>
    </r>
  </si>
  <si>
    <t>What is the Production Budget in units and lbs for April - Oct?</t>
  </si>
  <si>
    <t>Total Productive Time in Minutes</t>
  </si>
  <si>
    <t>labor minutes for 1 unit</t>
  </si>
  <si>
    <t>Total Labor Hours Required</t>
  </si>
  <si>
    <t>productive minutes in each hour</t>
  </si>
  <si>
    <t>Coats = FG UNITS</t>
  </si>
  <si>
    <t># of employees required</t>
  </si>
  <si>
    <t>hours per month for each employee</t>
  </si>
  <si>
    <r>
      <t xml:space="preserve">Planned Sales </t>
    </r>
    <r>
      <rPr>
        <sz val="14"/>
        <color rgb="FFFF0000"/>
        <rFont val="Calibri"/>
        <family val="2"/>
        <scheme val="minor"/>
      </rPr>
      <t>FG units</t>
    </r>
  </si>
  <si>
    <t># of employeed required adjusted</t>
  </si>
  <si>
    <t>round up to the next pair (even number)</t>
  </si>
  <si>
    <r>
      <t xml:space="preserve">Add Ending Inv </t>
    </r>
    <r>
      <rPr>
        <sz val="14"/>
        <color rgb="FFFF0000"/>
        <rFont val="Calibri"/>
        <family val="2"/>
        <scheme val="minor"/>
      </rPr>
      <t>FG Units</t>
    </r>
  </si>
  <si>
    <t>Direct Labor Cost</t>
  </si>
  <si>
    <r>
      <t xml:space="preserve">Less Beginning Inv </t>
    </r>
    <r>
      <rPr>
        <sz val="14"/>
        <color rgb="FFFF0000"/>
        <rFont val="Calibri"/>
        <family val="2"/>
        <scheme val="minor"/>
      </rPr>
      <t>FG Units</t>
    </r>
  </si>
  <si>
    <r>
      <t xml:space="preserve">Planned Production </t>
    </r>
    <r>
      <rPr>
        <sz val="14"/>
        <color rgb="FFFF0000"/>
        <rFont val="Calibri"/>
        <family val="2"/>
        <scheme val="minor"/>
      </rPr>
      <t>FG Units</t>
    </r>
  </si>
  <si>
    <t>Activity Cost</t>
  </si>
  <si>
    <t>Activity Base</t>
  </si>
  <si>
    <t>Activity Rate</t>
  </si>
  <si>
    <t>Pos</t>
  </si>
  <si>
    <t>Guitars</t>
  </si>
  <si>
    <t xml:space="preserve"> # setups = # batches</t>
  </si>
  <si>
    <t>per PO</t>
  </si>
  <si>
    <t>per guitar</t>
  </si>
  <si>
    <t>per setup or per batch</t>
  </si>
  <si>
    <t xml:space="preserve">DL </t>
  </si>
  <si>
    <t>MOH</t>
  </si>
  <si>
    <t>Material Handling</t>
  </si>
  <si>
    <t>Inspection</t>
  </si>
  <si>
    <r>
      <t>Determine cost of</t>
    </r>
    <r>
      <rPr>
        <b/>
        <sz val="11"/>
        <color rgb="FFFF0000"/>
        <rFont val="Calibri"/>
        <family val="2"/>
        <scheme val="minor"/>
      </rPr>
      <t xml:space="preserve"> 1 Concert Guitar (1 UNIT)</t>
    </r>
  </si>
  <si>
    <t>Finished good: Tables 40%</t>
  </si>
  <si>
    <t>RM: Table legs 60%</t>
  </si>
  <si>
    <r>
      <rPr>
        <b/>
        <sz val="11"/>
        <color rgb="FFFF0000"/>
        <rFont val="Calibri"/>
        <family val="2"/>
        <scheme val="minor"/>
      </rPr>
      <t>Tables</t>
    </r>
    <r>
      <rPr>
        <sz val="11"/>
        <color theme="1"/>
        <rFont val="Calibri"/>
        <family val="2"/>
        <scheme val="minor"/>
      </rPr>
      <t xml:space="preserve"> produced</t>
    </r>
  </si>
  <si>
    <r>
      <rPr>
        <b/>
        <sz val="11"/>
        <color rgb="FFFF0000"/>
        <rFont val="Calibri"/>
        <family val="2"/>
        <scheme val="minor"/>
      </rPr>
      <t>Table</t>
    </r>
    <r>
      <rPr>
        <sz val="11"/>
        <color theme="1"/>
        <rFont val="Calibri"/>
        <family val="2"/>
        <scheme val="minor"/>
      </rPr>
      <t xml:space="preserve"> Sales</t>
    </r>
  </si>
  <si>
    <r>
      <t xml:space="preserve">Convert to table </t>
    </r>
    <r>
      <rPr>
        <b/>
        <sz val="11"/>
        <color rgb="FF00B050"/>
        <rFont val="Calibri"/>
        <family val="2"/>
        <scheme val="minor"/>
      </rPr>
      <t>legs</t>
    </r>
  </si>
  <si>
    <t>+End Inv Tables</t>
  </si>
  <si>
    <t>-Beg Inv Tables</t>
  </si>
  <si>
    <t>+End Inv Legs</t>
  </si>
  <si>
    <t>-Beg Inv Legs</t>
  </si>
  <si>
    <r>
      <t xml:space="preserve">Table </t>
    </r>
    <r>
      <rPr>
        <b/>
        <sz val="11"/>
        <color rgb="FF00B050"/>
        <rFont val="Calibri"/>
        <family val="2"/>
        <scheme val="minor"/>
      </rPr>
      <t>legs</t>
    </r>
    <r>
      <rPr>
        <sz val="11"/>
        <color theme="1"/>
        <rFont val="Calibri"/>
        <family val="2"/>
        <scheme val="minor"/>
      </rPr>
      <t xml:space="preserve"> to be purchased</t>
    </r>
  </si>
  <si>
    <t>FG: Window shades</t>
  </si>
  <si>
    <t>RM: Yards of fabric</t>
  </si>
  <si>
    <t>Sales of shades</t>
  </si>
  <si>
    <t>+ End Inv of shades</t>
  </si>
  <si>
    <t>- Beg Inv of shades</t>
  </si>
  <si>
    <t>Shades to be produced</t>
  </si>
  <si>
    <t>Convert to yards</t>
  </si>
  <si>
    <t>- Beg Inv yards of fabric</t>
  </si>
  <si>
    <t>+ End Inv yards of fabric</t>
  </si>
  <si>
    <t>Yards of fabric to be purchased</t>
  </si>
  <si>
    <t>NOVEMBER CASH COLLECTIONS</t>
  </si>
  <si>
    <t>Total sales</t>
  </si>
  <si>
    <t>Collection from November credit cards</t>
  </si>
  <si>
    <t>Collection from October trade credit</t>
  </si>
  <si>
    <t>Collection from September trade credit</t>
  </si>
  <si>
    <t>Volume-based systems often leads to inaccurate measures for the costs of support activities in its operation</t>
  </si>
  <si>
    <t xml:space="preserve">because Product or services usually do not consume factory overhead resources </t>
  </si>
  <si>
    <t>in proportion to the volume-based measure the firm often uses to assign overhead costs</t>
  </si>
  <si>
    <t>ABC</t>
  </si>
  <si>
    <t>Differs from volume-based in two ways</t>
  </si>
  <si>
    <t>ABC defines cost pools as activities rather than production, plant, or department cost centers</t>
  </si>
  <si>
    <t xml:space="preserve">Cost drivers that ABC uses to assign activity costs to cost objects are </t>
  </si>
  <si>
    <t>drivers based on an activity or activities performed for the cost object</t>
  </si>
  <si>
    <t>Volume-based cost drivers often bear little or no relationship to the consumption of resources by the cost objects</t>
  </si>
  <si>
    <t>Development: 3 Steps</t>
  </si>
  <si>
    <t>activities consume resources levels</t>
  </si>
  <si>
    <t>5 step approach</t>
  </si>
  <si>
    <t>Identify resource costs and activities</t>
  </si>
  <si>
    <t>identify activities in OH spending</t>
  </si>
  <si>
    <t>Unit-level activity</t>
  </si>
  <si>
    <t>estimate cost of each activity</t>
  </si>
  <si>
    <t>Batch-level activity</t>
  </si>
  <si>
    <t>identify cost drivers for each activity</t>
  </si>
  <si>
    <t>Product-level activity</t>
  </si>
  <si>
    <t>estimate quantity of each cost driver</t>
  </si>
  <si>
    <t>Facility-level activity</t>
  </si>
  <si>
    <t>5)</t>
  </si>
  <si>
    <t>calculated activity cost driver rate</t>
  </si>
  <si>
    <t xml:space="preserve">Then use cost driver rate to charge products/services </t>
  </si>
  <si>
    <t>for quantity of each cost driver they consume</t>
  </si>
  <si>
    <t>High Volume products often subsidize low volume products in traditional cost systems</t>
  </si>
  <si>
    <t>assign resource costs to activities, and</t>
  </si>
  <si>
    <t>Use resource consumption drivers to assign resource costs to activities, based on cause and effect</t>
  </si>
  <si>
    <t>Resource Consumption Cost Driver</t>
  </si>
  <si>
    <t>Personnel</t>
  </si>
  <si>
    <t># of workers</t>
  </si>
  <si>
    <t># of workers/personnel costs</t>
  </si>
  <si>
    <t>Storeroom</t>
  </si>
  <si>
    <t># of items picked for an order</t>
  </si>
  <si>
    <t>Engineers</t>
  </si>
  <si>
    <t>time worked</t>
  </si>
  <si>
    <t>Materials Management</t>
  </si>
  <si>
    <t>Accounting</t>
  </si>
  <si>
    <t>Research &amp; Development</t>
  </si>
  <si>
    <t># of new codes developed</t>
  </si>
  <si>
    <t>Quality</t>
  </si>
  <si>
    <t>Square Footage</t>
  </si>
  <si>
    <t>assign activity costs to cost objects</t>
  </si>
  <si>
    <t xml:space="preserve">Assign costs of activities to items of interest, generically coalled cost objects, </t>
  </si>
  <si>
    <t>based on appropriate activity consumption cost drivers</t>
  </si>
  <si>
    <t>Cost objects are the output resulting from the firm's activities, typically product and services</t>
  </si>
  <si>
    <t>Also, customers and projects can be cost objects</t>
  </si>
  <si>
    <t>ABC Benefits</t>
  </si>
  <si>
    <t>Better Profitability measures</t>
  </si>
  <si>
    <t>Better Decision Making</t>
  </si>
  <si>
    <t>Process Improvement</t>
  </si>
  <si>
    <t>Improved Planning</t>
  </si>
  <si>
    <t>Cost of unused capacity</t>
  </si>
  <si>
    <t>per setup</t>
  </si>
  <si>
    <t>per inspection</t>
  </si>
  <si>
    <t>1 unit in Job 102</t>
  </si>
  <si>
    <t>Machine setup</t>
  </si>
  <si>
    <t>per m move</t>
  </si>
  <si>
    <t>Engineering</t>
  </si>
  <si>
    <t>per eng hour</t>
  </si>
  <si>
    <t>1 Concert Guitar</t>
  </si>
  <si>
    <t>Plywood purchasing</t>
  </si>
  <si>
    <t>per concert guitar</t>
  </si>
  <si>
    <t>Plywood cutting</t>
  </si>
  <si>
    <t>Shape, glue, and sand</t>
  </si>
  <si>
    <t>Setup of prod. Area</t>
  </si>
  <si>
    <t>per setup or batch</t>
  </si>
  <si>
    <t># setups = # batches</t>
  </si>
  <si>
    <t>total cost for 1 concert quality guitar</t>
  </si>
  <si>
    <t># batches concert quality</t>
  </si>
  <si>
    <t># batches traditional</t>
  </si>
  <si>
    <t>total # of batches</t>
  </si>
  <si>
    <t xml:space="preserve">Babson Industries ABM </t>
  </si>
  <si>
    <r>
      <t>Required: Calculate the</t>
    </r>
    <r>
      <rPr>
        <b/>
        <sz val="11"/>
        <color rgb="FFFF0000"/>
        <rFont val="Arial"/>
        <family val="2"/>
      </rPr>
      <t xml:space="preserve"> fully loaded cost</t>
    </r>
    <r>
      <rPr>
        <b/>
        <sz val="11"/>
        <rFont val="Arial"/>
        <family val="2"/>
      </rPr>
      <t xml:space="preserve"> per resource including office space and computer.</t>
    </r>
  </si>
  <si>
    <t xml:space="preserve">Babson Industries (BI) manufactures and sells a variety of electro-mechanical games. BI's </t>
  </si>
  <si>
    <t>Salary+Benefits</t>
  </si>
  <si>
    <t xml:space="preserve">Dedicated Office Space </t>
  </si>
  <si>
    <t xml:space="preserve">Computer   </t>
  </si>
  <si>
    <t>Fully Loaded Cost</t>
  </si>
  <si>
    <t>CFO noticed BI cannot make its 45% target gross margin for its high volume games while it easily</t>
  </si>
  <si>
    <t>1 Supervisor</t>
  </si>
  <si>
    <t>sq ft</t>
  </si>
  <si>
    <t>total space</t>
  </si>
  <si>
    <t>achieves the target for its low volume games. The CFO recalls learning in managerial accounting</t>
  </si>
  <si>
    <t>2 Technicians</t>
  </si>
  <si>
    <t>supervisor</t>
  </si>
  <si>
    <t>that high volume products were over-costed by traditional costing systems while low</t>
  </si>
  <si>
    <t>1 Clerk</t>
  </si>
  <si>
    <t>2 technicians</t>
  </si>
  <si>
    <t xml:space="preserve">volume products were under-costed. She also recalls learning that Activity Based Costing </t>
  </si>
  <si>
    <t>Space</t>
  </si>
  <si>
    <t>shared space</t>
  </si>
  <si>
    <t>clerk</t>
  </si>
  <si>
    <t xml:space="preserve">(ABC) systems often provided a more realistic picture of product cost as well as allowing for better </t>
  </si>
  <si>
    <t>Computers</t>
  </si>
  <si>
    <t xml:space="preserve">anaysis of activities and sub-activities with Activity Based Management (ABM). She asks her </t>
  </si>
  <si>
    <t xml:space="preserve">Controller, Amanda, to do a first cut at ABC for BI. Amanda, who had recently completed an ABC </t>
  </si>
  <si>
    <t xml:space="preserve">Required: For each resource, indicate if it is unique or shared, and if shared, what the </t>
  </si>
  <si>
    <t>analysis, to do an activity analysis of the Production Scheduling and Setup activity. Amanda</t>
  </si>
  <si>
    <t>driver is. Calculate the percent of each resource used by each sub-activity:</t>
  </si>
  <si>
    <t>clerk processes orders</t>
  </si>
  <si>
    <r>
      <t xml:space="preserve">learns this activity has three sub-activities - </t>
    </r>
    <r>
      <rPr>
        <b/>
        <sz val="11"/>
        <rFont val="Arial"/>
        <family val="2"/>
      </rPr>
      <t>scheduling orders</t>
    </r>
    <r>
      <rPr>
        <sz val="11"/>
        <rFont val="Arial"/>
        <family val="2"/>
      </rPr>
      <t xml:space="preserve"> for production, </t>
    </r>
    <r>
      <rPr>
        <b/>
        <sz val="11"/>
        <rFont val="Arial"/>
        <family val="2"/>
      </rPr>
      <t>ordering materials</t>
    </r>
    <r>
      <rPr>
        <sz val="11"/>
        <rFont val="Arial"/>
        <family val="2"/>
      </rPr>
      <t>,</t>
    </r>
  </si>
  <si>
    <t>Unique/Shared</t>
  </si>
  <si>
    <t>Scheduling</t>
  </si>
  <si>
    <t>Ordering</t>
  </si>
  <si>
    <t>Setup</t>
  </si>
  <si>
    <t>technician workshop</t>
  </si>
  <si>
    <t>scheduling</t>
  </si>
  <si>
    <r>
      <rPr>
        <b/>
        <sz val="11"/>
        <rFont val="Arial"/>
        <family val="2"/>
      </rPr>
      <t>setting up</t>
    </r>
    <r>
      <rPr>
        <sz val="11"/>
        <rFont val="Arial"/>
        <family val="2"/>
      </rPr>
      <t xml:space="preserve"> the production line. The activity has the following resources costing a total of</t>
    </r>
    <r>
      <rPr>
        <b/>
        <sz val="11"/>
        <rFont val="Arial"/>
        <family val="2"/>
      </rPr>
      <t xml:space="preserve"> $240,000</t>
    </r>
    <r>
      <rPr>
        <sz val="11"/>
        <rFont val="Arial"/>
        <family val="2"/>
      </rPr>
      <t>:</t>
    </r>
  </si>
  <si>
    <t>Supervisor</t>
  </si>
  <si>
    <t>Shared - time</t>
  </si>
  <si>
    <t>setup</t>
  </si>
  <si>
    <t>Technicians</t>
  </si>
  <si>
    <r>
      <t xml:space="preserve">1. </t>
    </r>
    <r>
      <rPr>
        <b/>
        <sz val="11"/>
        <rFont val="Arial"/>
        <family val="2"/>
      </rPr>
      <t>A supervisor</t>
    </r>
    <r>
      <rPr>
        <sz val="11"/>
        <rFont val="Arial"/>
        <family val="2"/>
      </rPr>
      <t xml:space="preserve"> who earns $60,000 per year plus 25% fringe benefits and spends </t>
    </r>
  </si>
  <si>
    <t>Clerk</t>
  </si>
  <si>
    <t>Dedicated</t>
  </si>
  <si>
    <t xml:space="preserve">    20% each on scheduling and ordering and 60% on setup.</t>
  </si>
  <si>
    <t>Shared - sq. ft</t>
  </si>
  <si>
    <r>
      <t>2.</t>
    </r>
    <r>
      <rPr>
        <b/>
        <sz val="11"/>
        <rFont val="Arial"/>
        <family val="2"/>
      </rPr>
      <t xml:space="preserve"> Two technicians</t>
    </r>
    <r>
      <rPr>
        <sz val="11"/>
        <rFont val="Arial"/>
        <family val="2"/>
      </rPr>
      <t xml:space="preserve"> who earn $40,000 each per year plus 25% fringe benefits and spend 75% </t>
    </r>
  </si>
  <si>
    <t>Required: Calculate the cost of each sub-activity:</t>
  </si>
  <si>
    <t xml:space="preserve">    of their time on setups and 25% on scheduling.</t>
  </si>
  <si>
    <t>Cost</t>
  </si>
  <si>
    <r>
      <t xml:space="preserve">3. </t>
    </r>
    <r>
      <rPr>
        <b/>
        <sz val="11"/>
        <rFont val="Arial"/>
        <family val="2"/>
      </rPr>
      <t>A clerk</t>
    </r>
    <r>
      <rPr>
        <sz val="11"/>
        <rFont val="Arial"/>
        <family val="2"/>
      </rPr>
      <t xml:space="preserve"> who earns $32,000 per year plus 25% fringe benefits and spends 100% of his time </t>
    </r>
  </si>
  <si>
    <t xml:space="preserve">    on ordering.</t>
  </si>
  <si>
    <t xml:space="preserve">4. The team works in a 800 square foot space that costs $25 per square foot per year. The </t>
  </si>
  <si>
    <t xml:space="preserve">    supervisor has a 120 square foot office he uses for this activity; the two technicians each have</t>
  </si>
  <si>
    <t xml:space="preserve">    80 square foot cubicles as well as a 240 square foot workshop; the clerk also sits in an 80 </t>
  </si>
  <si>
    <t>Required: Calculate the cost driver rate for each sub-activity and compare to benchmark:</t>
  </si>
  <si>
    <t xml:space="preserve">    square foot cubicle and has a 200 square foot work area for processing incoming orders. The</t>
  </si>
  <si>
    <t>Assume all three sub-activities are value added/mission related</t>
  </si>
  <si>
    <t xml:space="preserve">    technician workshop is used 25% for Scheduling and 75% for Setup.</t>
  </si>
  <si>
    <t>Activity</t>
  </si>
  <si>
    <t>Cost Driver</t>
  </si>
  <si>
    <t>Driver Quantity</t>
  </si>
  <si>
    <t># production runs</t>
  </si>
  <si>
    <t>5. Each worker has a laptop that is leased for $1,250 per year.</t>
  </si>
  <si>
    <t># material orders</t>
  </si>
  <si>
    <t># setups</t>
  </si>
  <si>
    <t>Benchmark</t>
  </si>
  <si>
    <t>Recommend</t>
  </si>
  <si>
    <t>Framework</t>
  </si>
  <si>
    <r>
      <t xml:space="preserve">Strategic </t>
    </r>
    <r>
      <rPr>
        <sz val="9"/>
        <color theme="1"/>
        <rFont val="Calibri"/>
        <family val="2"/>
        <scheme val="minor"/>
      </rPr>
      <t>(Mission-Critical)</t>
    </r>
  </si>
  <si>
    <t>Yes</t>
  </si>
  <si>
    <t>No</t>
  </si>
  <si>
    <t>Perform well</t>
  </si>
  <si>
    <t>Keep/Continue</t>
  </si>
  <si>
    <t>Change/Reassess</t>
  </si>
  <si>
    <t>Improve</t>
  </si>
  <si>
    <t>Drop</t>
  </si>
  <si>
    <t>Resources</t>
  </si>
  <si>
    <t>Inspecting</t>
  </si>
  <si>
    <t>Stocking</t>
  </si>
  <si>
    <t>Maintaining</t>
  </si>
  <si>
    <t>Managing</t>
  </si>
  <si>
    <t>Total %</t>
  </si>
  <si>
    <t>Lee Salary</t>
  </si>
  <si>
    <t>Lorraine Salary</t>
  </si>
  <si>
    <t>11 Employee Salaries</t>
  </si>
  <si>
    <t>38 Employee Salaries</t>
  </si>
  <si>
    <t>Store Occupancy Costs</t>
  </si>
  <si>
    <t>Truck Depreciation</t>
  </si>
  <si>
    <t>Office Equipment Depr</t>
  </si>
  <si>
    <t>Computer Depreciation</t>
  </si>
  <si>
    <t>Total Space</t>
  </si>
  <si>
    <t>ordering and receiving</t>
  </si>
  <si>
    <t>shelving &amp; checkout</t>
  </si>
  <si>
    <t>inspection, admin, maintenance</t>
  </si>
  <si>
    <t>Total Utilities Usage</t>
  </si>
  <si>
    <t>KWH</t>
  </si>
  <si>
    <t>stocking shelves</t>
  </si>
  <si>
    <t>Total Employee Count</t>
  </si>
  <si>
    <t>Ordering and receiving</t>
  </si>
  <si>
    <t>each</t>
  </si>
  <si>
    <t>A)</t>
  </si>
  <si>
    <t>Calculate the total cost of the Ordering and Receiving activity.</t>
  </si>
  <si>
    <t>B) Calculate the total cost of the Stock Shelves and Operate Cash Registers</t>
  </si>
  <si>
    <t>C) The charts below compare L&amp;L's performance and cost per driver by activity to benchmarks collected by a 3rd party consulting firm.</t>
  </si>
  <si>
    <t xml:space="preserve">      for the specialty foods industry.  Indicate in the space provided in the second chart, what actions Lee &amp; Lorraine should take</t>
  </si>
  <si>
    <t xml:space="preserve">      with regards to each activity.  Keep, Improve, Reassess, or Drop</t>
  </si>
  <si>
    <t>Performance</t>
  </si>
  <si>
    <t>L&amp;L Performance</t>
  </si>
  <si>
    <t>Measure</t>
  </si>
  <si>
    <t>Order &amp; Receive Product</t>
  </si>
  <si>
    <t>% Correct Orders</t>
  </si>
  <si>
    <t>Incoming Inspection</t>
  </si>
  <si>
    <t>None*</t>
  </si>
  <si>
    <t>ASSUMPTION: If an activity is not performed by a competitor (i.e., we don't have a benchmark), that means that the activity is not strategic and we are not performing well.</t>
  </si>
  <si>
    <t>Stocking &amp; Cash Registers</t>
  </si>
  <si>
    <t>% Stock Outs</t>
  </si>
  <si>
    <t>% Checkout Errors</t>
  </si>
  <si>
    <t>Maintaining Stores</t>
  </si>
  <si>
    <t>Maint. Store Audit</t>
  </si>
  <si>
    <t>Management</t>
  </si>
  <si>
    <t>% Employee Turnover</t>
  </si>
  <si>
    <t>* Similar Size specialty stores rely on their vendors to provide product quality</t>
  </si>
  <si>
    <t>L&amp;L Cost / Driver</t>
  </si>
  <si>
    <t>Action</t>
  </si>
  <si>
    <t>Driver</t>
  </si>
  <si>
    <t># Purchase Orders</t>
  </si>
  <si>
    <t># Inspections</t>
  </si>
  <si>
    <t>$ Revenue</t>
  </si>
  <si>
    <t># Square Feet</t>
  </si>
  <si>
    <t># Employees</t>
  </si>
  <si>
    <r>
      <t xml:space="preserve">         Resources and Costs included in "</t>
    </r>
    <r>
      <rPr>
        <b/>
        <sz val="10"/>
        <color rgb="FFFF0000"/>
        <rFont val="Arial"/>
        <family val="2"/>
      </rPr>
      <t>Fully Loaded Salaries</t>
    </r>
    <r>
      <rPr>
        <b/>
        <sz val="10"/>
        <color theme="1"/>
        <rFont val="Arial"/>
        <family val="2"/>
      </rPr>
      <t>"</t>
    </r>
  </si>
  <si>
    <t>Amount</t>
  </si>
  <si>
    <t>Worker Headcount</t>
  </si>
  <si>
    <t>Salary</t>
  </si>
  <si>
    <t>Phone</t>
  </si>
  <si>
    <t>Office supplies</t>
  </si>
  <si>
    <t xml:space="preserve">Eq &amp; Software </t>
  </si>
  <si>
    <t xml:space="preserve">Fully Loaded Salaries </t>
  </si>
  <si>
    <t>Total Salaries</t>
  </si>
  <si>
    <t>advising</t>
  </si>
  <si>
    <t>Manager</t>
  </si>
  <si>
    <t>tutoring</t>
  </si>
  <si>
    <t>Advisors</t>
  </si>
  <si>
    <t># stations:</t>
  </si>
  <si>
    <t>Office Staff</t>
  </si>
  <si>
    <t>Equipment &amp; Software (25 computers)</t>
  </si>
  <si>
    <t>Reproduction</t>
  </si>
  <si>
    <t>Office Supplies &amp; Phone</t>
  </si>
  <si>
    <t>Problem: Cut 15% of Operating Budget</t>
  </si>
  <si>
    <t>Telephone</t>
  </si>
  <si>
    <t>*15%</t>
  </si>
  <si>
    <t>Travel</t>
  </si>
  <si>
    <t>Hospitality</t>
  </si>
  <si>
    <t xml:space="preserve">Total </t>
  </si>
  <si>
    <t>Usage Statistics for Indirect Costs</t>
  </si>
  <si>
    <t>A1</t>
  </si>
  <si>
    <t>A2</t>
  </si>
  <si>
    <t>A3</t>
  </si>
  <si>
    <t>A4</t>
  </si>
  <si>
    <t>A5</t>
  </si>
  <si>
    <t>A6</t>
  </si>
  <si>
    <t>A7</t>
  </si>
  <si>
    <t>A8</t>
  </si>
  <si>
    <t>A9</t>
  </si>
  <si>
    <t>A10</t>
  </si>
  <si>
    <t>A11</t>
  </si>
  <si>
    <t>A12</t>
  </si>
  <si>
    <t>A13</t>
  </si>
  <si>
    <t>Time</t>
  </si>
  <si>
    <t>TIme</t>
  </si>
  <si>
    <t>Usage</t>
  </si>
  <si>
    <t>Resource Consumption by Activity - Activity Costing</t>
  </si>
  <si>
    <t>Direct A12</t>
  </si>
  <si>
    <t>Direct A11</t>
  </si>
  <si>
    <t>Direct A13</t>
  </si>
  <si>
    <t>Non mission-critical activities</t>
  </si>
  <si>
    <t>Costs to Cut/Transfer to Other Department/Eliminate:</t>
  </si>
  <si>
    <t>A 11 Recruit Students</t>
  </si>
  <si>
    <t>A 12 Tutor Students</t>
  </si>
  <si>
    <t>A 13 Career Fairs</t>
  </si>
  <si>
    <t>Overhead</t>
  </si>
  <si>
    <t>Activity Driver</t>
  </si>
  <si>
    <t>Purchase Orders</t>
  </si>
  <si>
    <t>Material Moves</t>
  </si>
  <si>
    <t>Machine Maintenance</t>
  </si>
  <si>
    <t>Product Inspection</t>
  </si>
  <si>
    <t>Inspections</t>
  </si>
  <si>
    <t>Units produced</t>
  </si>
  <si>
    <t>Information related to Job B101 &amp; C120 are as follows:</t>
  </si>
  <si>
    <t>Job B101 incurs more batch level costs it uses more types of materials that need to be</t>
  </si>
  <si>
    <t>purchased, moved, &amp; inspected relative to Job C120</t>
  </si>
  <si>
    <t>Job B101</t>
  </si>
  <si>
    <t>Job C120</t>
  </si>
  <si>
    <t># of purchase orders</t>
  </si>
  <si>
    <t># material moves</t>
  </si>
  <si>
    <t>machine hours</t>
  </si>
  <si>
    <t># inspections</t>
  </si>
  <si>
    <t>units produced</t>
  </si>
  <si>
    <r>
      <t xml:space="preserve">Calculate the total overhead allocated to job B101 under a </t>
    </r>
    <r>
      <rPr>
        <b/>
        <sz val="11"/>
        <color rgb="FFFF0000"/>
        <rFont val="Calibri"/>
        <family val="2"/>
        <scheme val="minor"/>
      </rPr>
      <t>traditional</t>
    </r>
    <r>
      <rPr>
        <sz val="11"/>
        <rFont val="Calibri"/>
        <family val="2"/>
        <scheme val="minor"/>
      </rPr>
      <t xml:space="preserve"> costing system, where</t>
    </r>
  </si>
  <si>
    <r>
      <t xml:space="preserve">overhead is allocated based on </t>
    </r>
    <r>
      <rPr>
        <b/>
        <sz val="11"/>
        <color rgb="FFFF0000"/>
        <rFont val="Calibri"/>
        <family val="2"/>
        <scheme val="minor"/>
      </rPr>
      <t>machine hours</t>
    </r>
  </si>
  <si>
    <t>Total Ovh</t>
  </si>
  <si>
    <t>TOTAL Mach Hrs</t>
  </si>
  <si>
    <t>Rate</t>
  </si>
  <si>
    <t>per MACHINE HOUR</t>
  </si>
  <si>
    <t>B)</t>
  </si>
  <si>
    <t>Calculated the activity rate for each activity</t>
  </si>
  <si>
    <t>per move</t>
  </si>
  <si>
    <t>Machine Maint</t>
  </si>
  <si>
    <t>per MHr</t>
  </si>
  <si>
    <t>Prod Inspection</t>
  </si>
  <si>
    <t>per insp</t>
  </si>
  <si>
    <t>C)</t>
  </si>
  <si>
    <t xml:space="preserve">Calculated the total overhead allocated to Job B101 under an activity based costing system using </t>
  </si>
  <si>
    <t>the appropriate drivers</t>
  </si>
  <si>
    <t>OVERHEAD COST</t>
  </si>
  <si>
    <t>Mat'l Handling</t>
  </si>
  <si>
    <t>Maintenance</t>
  </si>
  <si>
    <t>D)</t>
  </si>
  <si>
    <t>Indicated whether the following statements are true or false:</t>
  </si>
  <si>
    <t>T or F?</t>
  </si>
  <si>
    <t>If Babson adopted an ABC system, more overhead would have been charged to Job C120 than</t>
  </si>
  <si>
    <t>F</t>
  </si>
  <si>
    <t>under their traditional costing system</t>
  </si>
  <si>
    <t>Job B101 seemed to consume more of the resources involved in purchasing than C120</t>
  </si>
  <si>
    <t>T</t>
  </si>
  <si>
    <t>The activity that consumes the most resources is the material handling activity</t>
  </si>
  <si>
    <t>F, Maintenance</t>
  </si>
  <si>
    <t>DRV Scooters</t>
  </si>
  <si>
    <t>projected sales</t>
  </si>
  <si>
    <t>in units</t>
  </si>
  <si>
    <t>Cost of Key Parts of the DRV Scooter</t>
  </si>
  <si>
    <t>Target Mfg Cost per Scooter</t>
  </si>
  <si>
    <t>Labor &amp;</t>
  </si>
  <si>
    <t>Retail Price</t>
  </si>
  <si>
    <t>Part</t>
  </si>
  <si>
    <t>Mat'l</t>
  </si>
  <si>
    <t>Mfg Ovh</t>
  </si>
  <si>
    <t>%</t>
  </si>
  <si>
    <t>HD Profit</t>
  </si>
  <si>
    <t>A</t>
  </si>
  <si>
    <t>OUR Selling Price</t>
  </si>
  <si>
    <t>B</t>
  </si>
  <si>
    <t>C</t>
  </si>
  <si>
    <t>Target Profit</t>
  </si>
  <si>
    <t>D</t>
  </si>
  <si>
    <t>Freight</t>
  </si>
  <si>
    <t>Dev Cost</t>
  </si>
  <si>
    <t>Commission</t>
  </si>
  <si>
    <t>Question</t>
  </si>
  <si>
    <t>Corp Expenses</t>
  </si>
  <si>
    <t>What is the Mfg Cost Gap</t>
  </si>
  <si>
    <r>
      <t xml:space="preserve">Target </t>
    </r>
    <r>
      <rPr>
        <b/>
        <sz val="11"/>
        <color rgb="FFFF0000"/>
        <rFont val="Calibri"/>
        <family val="2"/>
        <scheme val="minor"/>
      </rPr>
      <t>Mfg</t>
    </r>
    <r>
      <rPr>
        <b/>
        <sz val="11"/>
        <rFont val="Calibri"/>
        <family val="2"/>
        <scheme val="minor"/>
      </rPr>
      <t xml:space="preserve"> Cost</t>
    </r>
  </si>
  <si>
    <t>Current Mfg Cost</t>
  </si>
  <si>
    <t>Cost Gap</t>
  </si>
  <si>
    <t>Value Index and Assessment of needs</t>
  </si>
  <si>
    <t>Customer Surveys reveal the following information about key features and their customer preferences:</t>
  </si>
  <si>
    <t>Customer</t>
  </si>
  <si>
    <t>Feature</t>
  </si>
  <si>
    <t>Score</t>
  </si>
  <si>
    <t>Component Contribution to Customer Features</t>
  </si>
  <si>
    <t>Component</t>
  </si>
  <si>
    <t>Component %</t>
  </si>
  <si>
    <t>% Total Value</t>
  </si>
  <si>
    <t>Smooth Ride</t>
  </si>
  <si>
    <t>A (30%), B (70%)</t>
  </si>
  <si>
    <t>Quiet Engine</t>
  </si>
  <si>
    <t>A (10%), C (80%), D (10%)</t>
  </si>
  <si>
    <t>Low Emission</t>
  </si>
  <si>
    <t>B (40%), C (40%), D (20%)</t>
  </si>
  <si>
    <t>Prepare a Value Index and determine what action is most appropriate for each component</t>
  </si>
  <si>
    <t>Materials Cost</t>
  </si>
  <si>
    <t>Cost %</t>
  </si>
  <si>
    <t>Value %</t>
  </si>
  <si>
    <t>Value Index</t>
  </si>
  <si>
    <t>Cost Action</t>
  </si>
  <si>
    <t>reduce cost</t>
  </si>
  <si>
    <t>enhance cost</t>
  </si>
  <si>
    <t>no change</t>
  </si>
  <si>
    <t>If &lt; 0.9: Reduce Cost</t>
  </si>
  <si>
    <t xml:space="preserve">If &gt; 1.1: Enhance (i.e. Increase cost due to increase in functionality) </t>
  </si>
  <si>
    <t>&gt; .9 &amp; &lt; 1.1: No change</t>
  </si>
  <si>
    <t>CFM Case - Part A</t>
  </si>
  <si>
    <t xml:space="preserve">1. Calculate the per unit target manufacturing cost for the new ceiling fan.  </t>
  </si>
  <si>
    <t>Estimate</t>
  </si>
  <si>
    <t>Basis</t>
  </si>
  <si>
    <t>&lt;= this is what a customer shopping at Home Depot pays for 1 fan</t>
  </si>
  <si>
    <t>Home Depot GM</t>
  </si>
  <si>
    <t>&lt;= this is the profit that Home Depot keeps for itself</t>
  </si>
  <si>
    <t>CFM Selling Price</t>
  </si>
  <si>
    <t>&lt;= this is our selling price to Home Depot (we are fan manufacturers)</t>
  </si>
  <si>
    <t>Warranty Returns</t>
  </si>
  <si>
    <t>Shipping</t>
  </si>
  <si>
    <t>Design</t>
  </si>
  <si>
    <t>CFM non-manufacturing costs that we need to subtract from the $105 selling price</t>
  </si>
  <si>
    <t>Marketing / Admin</t>
  </si>
  <si>
    <t>Carrying Charges</t>
  </si>
  <si>
    <t>Return on Sales - target profit</t>
  </si>
  <si>
    <t>&lt;= don't forget to subtract TARGET PROFIT</t>
  </si>
  <si>
    <t>Target Manufacturing Cost</t>
  </si>
  <si>
    <t>&lt;= this is how much money per unit we should be spending on manufacturing costs such as DM + DL + MOH</t>
  </si>
  <si>
    <t>CFM Case - Part C</t>
  </si>
  <si>
    <t>1.     Create a value index for the fan’s components.</t>
  </si>
  <si>
    <t>Survey Score</t>
  </si>
  <si>
    <t xml:space="preserve">Component % </t>
  </si>
  <si>
    <t>Value Score</t>
  </si>
  <si>
    <t>Silent Operation</t>
  </si>
  <si>
    <t>Motor</t>
  </si>
  <si>
    <t>Blades</t>
  </si>
  <si>
    <t>Variable Speed</t>
  </si>
  <si>
    <t>Low Maintenance</t>
  </si>
  <si>
    <t>Shaft</t>
  </si>
  <si>
    <t>Appearance</t>
  </si>
  <si>
    <t>=% Value / % Material Cost</t>
  </si>
  <si>
    <t>Total Value</t>
  </si>
  <si>
    <t>Cost per Unit</t>
  </si>
  <si>
    <t>% Material Cost</t>
  </si>
  <si>
    <t>% Value</t>
  </si>
  <si>
    <t>Action Taken</t>
  </si>
  <si>
    <t>because value index is less than 1</t>
  </si>
  <si>
    <t>because value index is greater than 1</t>
  </si>
  <si>
    <r>
      <t>An action "</t>
    </r>
    <r>
      <rPr>
        <b/>
        <sz val="11"/>
        <color rgb="FFFF0000"/>
        <rFont val="Calibri"/>
        <family val="2"/>
        <scheme val="minor"/>
      </rPr>
      <t>no change</t>
    </r>
    <r>
      <rPr>
        <sz val="11"/>
        <color theme="1"/>
        <rFont val="Calibri"/>
        <family val="2"/>
        <scheme val="minor"/>
      </rPr>
      <t>" can be chosen if the value index can be rounded up or down to 1.00</t>
    </r>
  </si>
  <si>
    <t>Grinding Speed</t>
  </si>
  <si>
    <t>Grinding Accuracy</t>
  </si>
  <si>
    <t xml:space="preserve">Ease of Cleaning </t>
  </si>
  <si>
    <t>Quiz 5 Question 4</t>
  </si>
  <si>
    <t>Setting Menu Ease of Use</t>
  </si>
  <si>
    <t>1-10 Scale</t>
  </si>
  <si>
    <t xml:space="preserve">% </t>
  </si>
  <si>
    <t>Blade assembly</t>
  </si>
  <si>
    <t>Electronic Control Unit</t>
  </si>
  <si>
    <t>Blade Assembly</t>
  </si>
  <si>
    <t>Canister</t>
  </si>
  <si>
    <t>The cost of each component of the grinder is as follows:</t>
  </si>
  <si>
    <t>Manufacturing Business Inc.</t>
  </si>
  <si>
    <t xml:space="preserve">Manufacturing Business Inc. (BMI) assembles a specialty graduation picture frame for sale in </t>
  </si>
  <si>
    <t>college bookstores. For the next three months, BMI expects to sell the following number of frames:</t>
  </si>
  <si>
    <t xml:space="preserve">March </t>
  </si>
  <si>
    <t xml:space="preserve"> May</t>
  </si>
  <si>
    <t>Finished Goods</t>
  </si>
  <si>
    <t>picture frame</t>
  </si>
  <si>
    <t>Production Budget</t>
  </si>
  <si>
    <t>of next month's sales</t>
  </si>
  <si>
    <t>Pcture frames (units)</t>
  </si>
  <si>
    <t>BMI purchases two frame kits for each frame from a specialty frame manufacturer and and uses a cell</t>
  </si>
  <si>
    <t xml:space="preserve">Raw Materials </t>
  </si>
  <si>
    <t>frame kits</t>
  </si>
  <si>
    <t>Raw Materials Purchases Budget</t>
  </si>
  <si>
    <t>of next month's frame kits</t>
  </si>
  <si>
    <t xml:space="preserve">manufacturing environment where two workers work together to complete the assembly. The two </t>
  </si>
  <si>
    <t xml:space="preserve">workers in each cell each take 12 minutes to complete the assembly and package the frame. The </t>
  </si>
  <si>
    <t>workers are paid $18 per hour plus 20% in fringe benefits. Because of the union contract, only full</t>
  </si>
  <si>
    <t xml:space="preserve">time workers in teams of two can be hired; there is no overtime. Workers are productive 48 minutes </t>
  </si>
  <si>
    <t>out of each hour with the remaining time being spent on breaks, training and equipment downtime.</t>
  </si>
  <si>
    <t>Workers work 160 hours per month.</t>
  </si>
  <si>
    <t>BMI plans to carry 25% of next month sales as finished goods inventory and 20% of next months frame</t>
  </si>
  <si>
    <t>kit needs as raw material inventory. June sales are forecast at 800 units. Frame kits cost $16.00 each.</t>
  </si>
  <si>
    <t>BMI has no work in process inventory at the end of each month.</t>
  </si>
  <si>
    <t>Because the frames are all quite similar, BMI uses a traditional costing system to assign overhead to</t>
  </si>
  <si>
    <t xml:space="preserve">the frames; overhead for the three months is planned at $44,000 and will be allocated based on </t>
  </si>
  <si>
    <t>planned frames produced.</t>
  </si>
  <si>
    <t>1. Prepare a production budget for March and April.</t>
  </si>
  <si>
    <t>March</t>
  </si>
  <si>
    <t>Sales Units</t>
  </si>
  <si>
    <t>Plus End FG Inventory</t>
  </si>
  <si>
    <t>Minus Beg FG Inventory</t>
  </si>
  <si>
    <t>beg FG inv in March = end FG Inv in February = 25% * 800 = 200</t>
  </si>
  <si>
    <r>
      <t xml:space="preserve">Production FG </t>
    </r>
    <r>
      <rPr>
        <b/>
        <sz val="11"/>
        <color rgb="FFFF0000"/>
        <rFont val="Calibri"/>
        <family val="2"/>
        <scheme val="minor"/>
      </rPr>
      <t>UNITS</t>
    </r>
  </si>
  <si>
    <t>2. Prepare a raw material purchases budget for March and April</t>
  </si>
  <si>
    <t>Raw Material Purchases Budget</t>
  </si>
  <si>
    <t>Kits needed for production</t>
  </si>
  <si>
    <t>Kits issued to production for that month</t>
  </si>
  <si>
    <t>Plus End RM Inventory</t>
  </si>
  <si>
    <t>Minus Beg RM Inventory</t>
  </si>
  <si>
    <t>Beg RM Inv in March = end RM Inv in February = 20% * 1800 = 360</t>
  </si>
  <si>
    <t>RM Cost</t>
  </si>
  <si>
    <t>per kit</t>
  </si>
  <si>
    <t>3. Prepare a direct labor budget for March and April</t>
  </si>
  <si>
    <t>Direct Labor Budget</t>
  </si>
  <si>
    <t>Productive time</t>
  </si>
  <si>
    <t>TOTAL HOURS</t>
  </si>
  <si>
    <t>Nonproductive time</t>
  </si>
  <si>
    <t>Total Time</t>
  </si>
  <si>
    <t>4. Prepare a manufacturing overhead budget for March and April</t>
  </si>
  <si>
    <t>Manufacturing OH Budget</t>
  </si>
  <si>
    <t>Mfg Overhead Cost</t>
  </si>
  <si>
    <t>Pre-determined OH rate</t>
  </si>
  <si>
    <t>5. Calculate cost per unit produced</t>
  </si>
  <si>
    <t>Cost per Unit Produced</t>
  </si>
  <si>
    <t>only for units produced not purchased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</si>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</sst>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5" formatCode="&quot;$&quot;#,##0_);\(&quot;$&quot;#,##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quot;$&quot;* #,##0.0_);_(&quot;$&quot;* \(#,##0.0\);_(&quot;$&quot;* &quot;-&quot;?_);_(@_)"/>
    <numFmt numFmtId="167" formatCode="_(* #,##0.0_);_(* \(#,##0.0\);_(* &quot;-&quot;??_);_(@_)"/>
    <numFmt numFmtId="168" formatCode="_(&quot;$&quot;* #,##0.00_);_(&quot;$&quot;* \(#,##0.00\);_(&quot;$&quot;* &quot;-&quot;_);_(@_)"/>
    <numFmt numFmtId="169" formatCode="&quot;$&quot;#,##0.000_);[Red]\(&quot;$&quot;#,##0.000\)"/>
    <numFmt numFmtId="170" formatCode="0.0%"/>
    <numFmt numFmtId="171" formatCode="_(* #,##0.0_);_(* \(#,##0.0\);_(* &quot;-&quot;?_);_(@_)"/>
  </numFmts>
  <fonts count="67"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9"/>
      <color theme="1"/>
      <name val="Calibri"/>
      <family val="2"/>
      <scheme val="minor"/>
    </font>
    <font>
      <sz val="9"/>
      <color theme="1"/>
      <name val="Calibri"/>
      <family val="2"/>
      <scheme val="minor"/>
    </font>
    <font>
      <b/>
      <sz val="10"/>
      <color rgb="FFFF0000"/>
      <name val="Calibri"/>
      <family val="2"/>
      <scheme val="minor"/>
    </font>
    <font>
      <b/>
      <sz val="8"/>
      <color theme="1"/>
      <name val="Calibri"/>
      <family val="2"/>
      <scheme val="minor"/>
    </font>
    <font>
      <sz val="10"/>
      <name val="Calibri"/>
      <family val="2"/>
      <scheme val="minor"/>
    </font>
    <font>
      <sz val="10"/>
      <color theme="1"/>
      <name val="Calibri"/>
      <family val="2"/>
      <scheme val="minor"/>
    </font>
    <font>
      <sz val="8"/>
      <color theme="1"/>
      <name val="Calibri"/>
      <family val="2"/>
      <scheme val="minor"/>
    </font>
    <font>
      <sz val="10"/>
      <color theme="1" tint="0.34998626667073579"/>
      <name val="Calibri"/>
      <family val="2"/>
      <scheme val="minor"/>
    </font>
    <font>
      <b/>
      <sz val="10"/>
      <color theme="1"/>
      <name val="Calibri"/>
      <family val="2"/>
      <scheme val="minor"/>
    </font>
    <font>
      <b/>
      <sz val="11"/>
      <name val="Calibri"/>
      <family val="2"/>
      <scheme val="minor"/>
    </font>
    <font>
      <b/>
      <sz val="14"/>
      <name val="Calibri"/>
      <family val="2"/>
      <scheme val="minor"/>
    </font>
    <font>
      <sz val="14"/>
      <color theme="1"/>
      <name val="Calibri"/>
      <family val="2"/>
      <scheme val="minor"/>
    </font>
    <font>
      <b/>
      <i/>
      <sz val="14"/>
      <color rgb="FFFF0000"/>
      <name val="Calibri"/>
      <family val="2"/>
      <scheme val="minor"/>
    </font>
    <font>
      <b/>
      <i/>
      <sz val="14"/>
      <color theme="1"/>
      <name val="Calibri"/>
      <family val="2"/>
      <scheme val="minor"/>
    </font>
    <font>
      <b/>
      <sz val="11"/>
      <color rgb="FF00B0F0"/>
      <name val="Calibri"/>
      <family val="2"/>
      <scheme val="minor"/>
    </font>
    <font>
      <sz val="14"/>
      <color theme="1"/>
      <name val="Calibri Light"/>
      <family val="2"/>
      <scheme val="major"/>
    </font>
    <font>
      <sz val="12"/>
      <color theme="1"/>
      <name val="Calibri"/>
      <family val="2"/>
      <scheme val="minor"/>
    </font>
    <font>
      <b/>
      <sz val="12"/>
      <color theme="1"/>
      <name val="Calibri"/>
      <family val="2"/>
      <scheme val="minor"/>
    </font>
    <font>
      <b/>
      <i/>
      <u/>
      <sz val="12"/>
      <color theme="1"/>
      <name val="Calibri"/>
      <family val="2"/>
      <scheme val="minor"/>
    </font>
    <font>
      <b/>
      <sz val="10"/>
      <name val="Arial"/>
      <family val="2"/>
    </font>
    <font>
      <b/>
      <sz val="9"/>
      <name val="Arial"/>
      <family val="2"/>
    </font>
    <font>
      <sz val="9"/>
      <name val="Arial"/>
      <family val="2"/>
    </font>
    <font>
      <sz val="11"/>
      <color rgb="FFFF0000"/>
      <name val="Calibri"/>
      <family val="2"/>
      <scheme val="minor"/>
    </font>
    <font>
      <b/>
      <u/>
      <sz val="10"/>
      <name val="Arial"/>
      <family val="2"/>
    </font>
    <font>
      <sz val="10"/>
      <name val="Arial"/>
      <family val="2"/>
    </font>
    <font>
      <sz val="9.5"/>
      <name val="Arial"/>
      <family val="2"/>
    </font>
    <font>
      <i/>
      <sz val="10"/>
      <name val="Arial"/>
      <family val="2"/>
    </font>
    <font>
      <b/>
      <sz val="10"/>
      <color rgb="FFFF0000"/>
      <name val="Arial"/>
      <family val="2"/>
    </font>
    <font>
      <b/>
      <sz val="9"/>
      <color rgb="FF00B050"/>
      <name val="Calibri"/>
      <family val="2"/>
      <scheme val="minor"/>
    </font>
    <font>
      <b/>
      <sz val="11"/>
      <color rgb="FF00B050"/>
      <name val="Calibri"/>
      <family val="2"/>
      <scheme val="minor"/>
    </font>
    <font>
      <b/>
      <sz val="12"/>
      <color rgb="FF00B050"/>
      <name val="Calibri"/>
      <family val="2"/>
      <scheme val="minor"/>
    </font>
    <font>
      <b/>
      <sz val="12"/>
      <color rgb="FF00B050"/>
      <name val="Arial"/>
      <family val="2"/>
    </font>
    <font>
      <b/>
      <u/>
      <sz val="12"/>
      <color rgb="FF00B050"/>
      <name val="Arial"/>
      <family val="2"/>
    </font>
    <font>
      <b/>
      <sz val="14"/>
      <color theme="1"/>
      <name val="Calibri"/>
      <family val="2"/>
      <scheme val="minor"/>
    </font>
    <font>
      <b/>
      <i/>
      <sz val="11"/>
      <color theme="1"/>
      <name val="Calibri"/>
      <family val="2"/>
      <scheme val="minor"/>
    </font>
    <font>
      <sz val="14"/>
      <color rgb="FFFF0000"/>
      <name val="Calibri"/>
      <family val="2"/>
      <scheme val="minor"/>
    </font>
    <font>
      <b/>
      <i/>
      <sz val="12"/>
      <color theme="1"/>
      <name val="Calibri"/>
      <family val="2"/>
      <scheme val="minor"/>
    </font>
    <font>
      <b/>
      <i/>
      <u/>
      <sz val="14"/>
      <color theme="1"/>
      <name val="Calibri"/>
      <family val="2"/>
      <scheme val="minor"/>
    </font>
    <font>
      <b/>
      <sz val="11"/>
      <color rgb="FFFF0000"/>
      <name val="Calibri"/>
      <family val="2"/>
      <scheme val="minor"/>
    </font>
    <font>
      <i/>
      <sz val="11"/>
      <color rgb="FFFF0000"/>
      <name val="Calibri"/>
      <family val="2"/>
      <scheme val="minor"/>
    </font>
    <font>
      <b/>
      <sz val="14"/>
      <color rgb="FF0070C0"/>
      <name val="Calibri"/>
      <family val="2"/>
      <scheme val="minor"/>
    </font>
    <font>
      <sz val="18"/>
      <color theme="1"/>
      <name val="Calibri"/>
      <family val="2"/>
      <scheme val="minor"/>
    </font>
    <font>
      <b/>
      <sz val="18"/>
      <color theme="1"/>
      <name val="Calibri"/>
      <family val="2"/>
      <scheme val="minor"/>
    </font>
    <font>
      <sz val="16"/>
      <color theme="1"/>
      <name val="Calibri"/>
      <family val="2"/>
      <scheme val="minor"/>
    </font>
    <font>
      <b/>
      <sz val="16"/>
      <color theme="1"/>
      <name val="Calibri"/>
      <family val="2"/>
      <scheme val="minor"/>
    </font>
    <font>
      <b/>
      <u/>
      <sz val="11"/>
      <name val="Arial"/>
      <family val="2"/>
    </font>
    <font>
      <b/>
      <sz val="11"/>
      <name val="Arial"/>
      <family val="2"/>
    </font>
    <font>
      <b/>
      <sz val="11"/>
      <color rgb="FFFF0000"/>
      <name val="Arial"/>
      <family val="2"/>
    </font>
    <font>
      <sz val="11"/>
      <name val="Arial"/>
      <family val="2"/>
    </font>
    <font>
      <b/>
      <u/>
      <sz val="9"/>
      <name val="Arial"/>
      <family val="2"/>
    </font>
    <font>
      <b/>
      <u/>
      <sz val="9"/>
      <color rgb="FFFF0000"/>
      <name val="Arial"/>
      <family val="2"/>
    </font>
    <font>
      <b/>
      <sz val="10"/>
      <color theme="1"/>
      <name val="Arial"/>
      <family val="2"/>
    </font>
    <font>
      <sz val="8"/>
      <color theme="1"/>
      <name val="Arial"/>
      <family val="2"/>
    </font>
    <font>
      <b/>
      <sz val="8"/>
      <color theme="1"/>
      <name val="Arial"/>
      <family val="2"/>
    </font>
    <font>
      <b/>
      <sz val="9"/>
      <color theme="1"/>
      <name val="Arial"/>
      <family val="2"/>
    </font>
    <font>
      <sz val="9"/>
      <color theme="1"/>
      <name val="Arial"/>
      <family val="2"/>
    </font>
    <font>
      <sz val="10"/>
      <color theme="1"/>
      <name val="Arial"/>
      <family val="2"/>
    </font>
    <font>
      <b/>
      <sz val="11"/>
      <color theme="1"/>
      <name val="Arial"/>
      <family val="2"/>
    </font>
    <font>
      <b/>
      <i/>
      <sz val="11"/>
      <name val="Calibri"/>
      <family val="2"/>
      <scheme val="minor"/>
    </font>
    <font>
      <b/>
      <sz val="11"/>
      <color theme="1"/>
      <name val="Calibri"/>
      <family val="2"/>
    </font>
    <font>
      <sz val="11"/>
      <color theme="1"/>
      <name val="Calibri"/>
      <family val="2"/>
    </font>
    <font>
      <b/>
      <sz val="11"/>
      <color rgb="FFFF0000"/>
      <name val="Calibri"/>
      <family val="2"/>
    </font>
    <font>
      <b/>
      <u/>
      <sz val="11"/>
      <color theme="1"/>
      <name val="Calibri"/>
      <family val="2"/>
      <scheme val="minor"/>
    </font>
  </fonts>
  <fills count="31">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99FF"/>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000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FFC000"/>
        <bgColor indexed="64"/>
      </patternFill>
    </fill>
    <fill>
      <patternFill patternType="solid">
        <fgColor rgb="FF92D050"/>
        <bgColor indexed="64"/>
      </patternFill>
    </fill>
    <fill>
      <patternFill patternType="solid">
        <fgColor theme="5" tint="0.39997558519241921"/>
        <bgColor indexed="64"/>
      </patternFill>
    </fill>
    <fill>
      <patternFill patternType="solid">
        <fgColor theme="2" tint="-0.249977111117893"/>
        <bgColor indexed="64"/>
      </patternFill>
    </fill>
    <fill>
      <patternFill patternType="solid">
        <fgColor rgb="FF66FF66"/>
        <bgColor indexed="64"/>
      </patternFill>
    </fill>
    <fill>
      <patternFill patternType="solid">
        <fgColor rgb="FFCC99FF"/>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rgb="FFCCCCFF"/>
        <bgColor indexed="64"/>
      </patternFill>
    </fill>
    <fill>
      <patternFill patternType="solid">
        <fgColor theme="3" tint="0.59999389629810485"/>
        <bgColor indexed="64"/>
      </patternFill>
    </fill>
    <fill>
      <patternFill patternType="solid">
        <fgColor rgb="FF9999FF"/>
        <bgColor indexed="64"/>
      </patternFill>
    </fill>
    <fill>
      <patternFill patternType="solid">
        <fgColor rgb="FFEAC0E5"/>
        <bgColor indexed="64"/>
      </patternFill>
    </fill>
    <fill>
      <patternFill patternType="solid">
        <fgColor theme="7" tint="0.39997558519241921"/>
        <bgColor indexed="64"/>
      </patternFill>
    </fill>
  </fills>
  <borders count="6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8" fillId="0" borderId="0"/>
    <xf numFmtId="44" fontId="28" fillId="0" borderId="0" applyFont="0" applyFill="0" applyBorder="0" applyAlignment="0" applyProtection="0"/>
    <xf numFmtId="9" fontId="28" fillId="0" borderId="0" applyFont="0" applyFill="0" applyBorder="0" applyAlignment="0" applyProtection="0"/>
  </cellStyleXfs>
  <cellXfs count="856">
    <xf numFmtId="0" fontId="0" fillId="0" borderId="0" xfId="0"/>
    <xf numFmtId="0" fontId="2"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0" xfId="0" applyFill="1"/>
    <xf numFmtId="0" fontId="0" fillId="0" borderId="0" xfId="0" applyBorder="1"/>
    <xf numFmtId="0" fontId="0" fillId="0" borderId="5" xfId="0" applyBorder="1"/>
    <xf numFmtId="0" fontId="2" fillId="0" borderId="0" xfId="0" applyFont="1" applyBorder="1"/>
    <xf numFmtId="0" fontId="0" fillId="0" borderId="6" xfId="0" applyBorder="1"/>
    <xf numFmtId="164" fontId="0" fillId="0" borderId="7" xfId="2" applyNumberFormat="1" applyFont="1" applyBorder="1"/>
    <xf numFmtId="0" fontId="0" fillId="0" borderId="7" xfId="0" applyBorder="1"/>
    <xf numFmtId="0" fontId="0" fillId="0" borderId="8" xfId="0" applyBorder="1"/>
    <xf numFmtId="0" fontId="2" fillId="0" borderId="2" xfId="0" applyFont="1" applyBorder="1"/>
    <xf numFmtId="0" fontId="0" fillId="0" borderId="0" xfId="0" applyFill="1" applyBorder="1"/>
    <xf numFmtId="0" fontId="2" fillId="0" borderId="11" xfId="0" applyFont="1" applyBorder="1"/>
    <xf numFmtId="0" fontId="0" fillId="0" borderId="11" xfId="0" applyBorder="1"/>
    <xf numFmtId="0" fontId="2" fillId="0" borderId="1" xfId="0" applyFont="1" applyBorder="1"/>
    <xf numFmtId="164" fontId="0" fillId="5" borderId="0" xfId="0" applyNumberFormat="1" applyFill="1"/>
    <xf numFmtId="0" fontId="0" fillId="6" borderId="0" xfId="0" applyFill="1"/>
    <xf numFmtId="0" fontId="2" fillId="0" borderId="0" xfId="0" applyFont="1" applyFill="1" applyBorder="1"/>
    <xf numFmtId="0" fontId="3" fillId="0" borderId="0" xfId="0" applyFont="1" applyAlignment="1">
      <alignment horizontal="left"/>
    </xf>
    <xf numFmtId="44" fontId="0" fillId="6" borderId="0" xfId="2" applyFont="1" applyFill="1"/>
    <xf numFmtId="0" fontId="5" fillId="0" borderId="0" xfId="0" applyFont="1" applyFill="1" applyBorder="1"/>
    <xf numFmtId="0" fontId="5" fillId="0" borderId="0" xfId="0" applyFont="1"/>
    <xf numFmtId="0" fontId="6" fillId="0" borderId="1" xfId="0" applyFont="1" applyFill="1" applyBorder="1"/>
    <xf numFmtId="0" fontId="0" fillId="0" borderId="3" xfId="0" applyFill="1" applyBorder="1"/>
    <xf numFmtId="0" fontId="6" fillId="0" borderId="0" xfId="0" applyFont="1" applyFill="1"/>
    <xf numFmtId="0" fontId="7" fillId="6" borderId="0" xfId="0" applyFont="1" applyFill="1"/>
    <xf numFmtId="0" fontId="8" fillId="0" borderId="0" xfId="0" applyFont="1" applyAlignment="1">
      <alignment horizontal="left"/>
    </xf>
    <xf numFmtId="164" fontId="5" fillId="0" borderId="0" xfId="0" applyNumberFormat="1" applyFont="1" applyFill="1" applyBorder="1"/>
    <xf numFmtId="0" fontId="0" fillId="6" borderId="4" xfId="0" applyFill="1" applyBorder="1"/>
    <xf numFmtId="164" fontId="0" fillId="6" borderId="5" xfId="2" applyNumberFormat="1" applyFont="1" applyFill="1" applyBorder="1"/>
    <xf numFmtId="9" fontId="0" fillId="6" borderId="4" xfId="0" applyNumberFormat="1" applyFill="1" applyBorder="1"/>
    <xf numFmtId="164" fontId="0" fillId="0" borderId="5" xfId="0" applyNumberFormat="1" applyBorder="1"/>
    <xf numFmtId="9" fontId="10" fillId="6" borderId="0" xfId="0" applyNumberFormat="1" applyFont="1" applyFill="1"/>
    <xf numFmtId="164" fontId="10" fillId="6" borderId="0" xfId="0" applyNumberFormat="1" applyFont="1" applyFill="1"/>
    <xf numFmtId="0" fontId="2" fillId="6" borderId="6" xfId="0" applyFont="1" applyFill="1" applyBorder="1"/>
    <xf numFmtId="164" fontId="4" fillId="7" borderId="8" xfId="0" applyNumberFormat="1" applyFont="1" applyFill="1" applyBorder="1"/>
    <xf numFmtId="0" fontId="0" fillId="0" borderId="13" xfId="0" applyFill="1" applyBorder="1"/>
    <xf numFmtId="164" fontId="2" fillId="3" borderId="14" xfId="0" applyNumberFormat="1" applyFont="1" applyFill="1" applyBorder="1"/>
    <xf numFmtId="0" fontId="0" fillId="3" borderId="15" xfId="0" applyFill="1" applyBorder="1"/>
    <xf numFmtId="0" fontId="0" fillId="3" borderId="13" xfId="0" applyFill="1" applyBorder="1"/>
    <xf numFmtId="164" fontId="4" fillId="7" borderId="0" xfId="0" applyNumberFormat="1" applyFont="1" applyFill="1"/>
    <xf numFmtId="0" fontId="5" fillId="0" borderId="0" xfId="0" applyFont="1" applyFill="1"/>
    <xf numFmtId="0" fontId="5" fillId="0" borderId="1" xfId="0" applyFont="1" applyBorder="1" applyAlignment="1">
      <alignment horizontal="center"/>
    </xf>
    <xf numFmtId="164" fontId="4" fillId="0" borderId="0" xfId="0" applyNumberFormat="1" applyFont="1" applyFill="1"/>
    <xf numFmtId="0" fontId="0" fillId="3" borderId="16" xfId="0" applyFill="1" applyBorder="1" applyAlignment="1">
      <alignment horizontal="center"/>
    </xf>
    <xf numFmtId="164" fontId="2" fillId="0" borderId="0" xfId="0" applyNumberFormat="1" applyFont="1" applyFill="1" applyBorder="1"/>
    <xf numFmtId="164" fontId="0" fillId="0" borderId="0" xfId="0" applyNumberFormat="1" applyFill="1" applyBorder="1"/>
    <xf numFmtId="44" fontId="2" fillId="3" borderId="16" xfId="0" applyNumberFormat="1" applyFont="1" applyFill="1" applyBorder="1"/>
    <xf numFmtId="44" fontId="2" fillId="0" borderId="0" xfId="0" applyNumberFormat="1" applyFont="1" applyFill="1" applyBorder="1"/>
    <xf numFmtId="0" fontId="9" fillId="0" borderId="0" xfId="0" applyFont="1" applyAlignment="1">
      <alignment horizontal="center"/>
    </xf>
    <xf numFmtId="0" fontId="9" fillId="0" borderId="0" xfId="0" applyFont="1"/>
    <xf numFmtId="0" fontId="9" fillId="0" borderId="13" xfId="0" applyFont="1" applyBorder="1"/>
    <xf numFmtId="0" fontId="0" fillId="0" borderId="14" xfId="0" applyBorder="1"/>
    <xf numFmtId="164" fontId="0" fillId="0" borderId="4" xfId="0" applyNumberFormat="1" applyBorder="1"/>
    <xf numFmtId="164" fontId="0" fillId="0" borderId="0" xfId="0" applyNumberFormat="1"/>
    <xf numFmtId="44" fontId="2" fillId="8" borderId="0" xfId="0" applyNumberFormat="1" applyFont="1" applyFill="1"/>
    <xf numFmtId="0" fontId="2" fillId="0" borderId="13" xfId="0" applyFont="1" applyBorder="1"/>
    <xf numFmtId="164" fontId="0" fillId="0" borderId="6" xfId="0" applyNumberFormat="1" applyBorder="1"/>
    <xf numFmtId="164" fontId="12" fillId="3" borderId="0" xfId="0" applyNumberFormat="1" applyFont="1" applyFill="1"/>
    <xf numFmtId="0" fontId="3" fillId="0" borderId="0" xfId="0" applyFont="1"/>
    <xf numFmtId="0" fontId="13" fillId="0" borderId="0" xfId="0" applyFont="1"/>
    <xf numFmtId="0" fontId="15" fillId="0" borderId="16" xfId="0" applyFont="1" applyBorder="1" applyAlignment="1">
      <alignment horizontal="center"/>
    </xf>
    <xf numFmtId="0" fontId="15" fillId="0" borderId="0" xfId="0" applyFont="1"/>
    <xf numFmtId="0" fontId="16" fillId="0" borderId="0" xfId="0" applyFont="1"/>
    <xf numFmtId="0" fontId="17" fillId="0" borderId="0" xfId="0" applyFont="1"/>
    <xf numFmtId="6" fontId="0" fillId="0" borderId="0" xfId="0" applyNumberFormat="1"/>
    <xf numFmtId="6" fontId="2" fillId="0" borderId="0" xfId="0" applyNumberFormat="1" applyFont="1"/>
    <xf numFmtId="164" fontId="0" fillId="0" borderId="0" xfId="2" applyNumberFormat="1" applyFont="1"/>
    <xf numFmtId="166" fontId="0" fillId="0" borderId="0" xfId="0" applyNumberFormat="1"/>
    <xf numFmtId="0" fontId="18" fillId="0" borderId="0" xfId="0" applyFont="1"/>
    <xf numFmtId="44" fontId="0" fillId="0" borderId="0" xfId="0" applyNumberFormat="1"/>
    <xf numFmtId="44" fontId="2" fillId="0" borderId="0" xfId="0" applyNumberFormat="1" applyFont="1"/>
    <xf numFmtId="44" fontId="0" fillId="5" borderId="0" xfId="0" applyNumberFormat="1" applyFill="1"/>
    <xf numFmtId="44" fontId="0" fillId="11" borderId="0" xfId="0" applyNumberFormat="1" applyFill="1"/>
    <xf numFmtId="0" fontId="17" fillId="0" borderId="0" xfId="0" applyFont="1" applyFill="1"/>
    <xf numFmtId="164" fontId="0" fillId="0" borderId="0" xfId="2" applyNumberFormat="1" applyFont="1" applyFill="1"/>
    <xf numFmtId="0" fontId="2" fillId="0" borderId="0" xfId="0" applyFont="1" applyFill="1"/>
    <xf numFmtId="44" fontId="0" fillId="0" borderId="0" xfId="0" applyNumberFormat="1" applyFill="1"/>
    <xf numFmtId="164" fontId="2" fillId="0" borderId="0" xfId="0" applyNumberFormat="1" applyFont="1"/>
    <xf numFmtId="164" fontId="0" fillId="11" borderId="0" xfId="0" applyNumberFormat="1" applyFill="1"/>
    <xf numFmtId="44" fontId="0" fillId="8" borderId="0" xfId="2" applyFont="1" applyFill="1"/>
    <xf numFmtId="0" fontId="0" fillId="12" borderId="0" xfId="0" applyFill="1"/>
    <xf numFmtId="164" fontId="0" fillId="8" borderId="0" xfId="0" applyNumberFormat="1" applyFill="1"/>
    <xf numFmtId="0" fontId="15" fillId="0" borderId="17" xfId="0" applyFont="1" applyBorder="1" applyAlignment="1">
      <alignment horizontal="center"/>
    </xf>
    <xf numFmtId="43" fontId="15" fillId="0" borderId="17" xfId="1" applyFont="1" applyBorder="1" applyAlignment="1">
      <alignment horizontal="right"/>
    </xf>
    <xf numFmtId="43" fontId="15" fillId="0" borderId="21" xfId="1" applyFont="1" applyBorder="1" applyAlignment="1">
      <alignment horizontal="right"/>
    </xf>
    <xf numFmtId="44" fontId="15" fillId="0" borderId="0" xfId="2" applyFont="1" applyAlignment="1">
      <alignment horizontal="right"/>
    </xf>
    <xf numFmtId="167" fontId="15" fillId="0" borderId="17" xfId="1" applyNumberFormat="1" applyFont="1" applyBorder="1"/>
    <xf numFmtId="43" fontId="15" fillId="0" borderId="0" xfId="1" applyFont="1" applyBorder="1" applyAlignment="1">
      <alignment horizontal="right"/>
    </xf>
    <xf numFmtId="165" fontId="15" fillId="0" borderId="17" xfId="1" applyNumberFormat="1" applyFont="1" applyBorder="1"/>
    <xf numFmtId="0" fontId="0" fillId="0" borderId="0" xfId="0" applyAlignment="1">
      <alignment horizontal="right"/>
    </xf>
    <xf numFmtId="0" fontId="19" fillId="0" borderId="0" xfId="0" applyFont="1" applyAlignment="1">
      <alignment horizontal="right"/>
    </xf>
    <xf numFmtId="0" fontId="19" fillId="0" borderId="0" xfId="0" applyFont="1"/>
    <xf numFmtId="0" fontId="20" fillId="0" borderId="0" xfId="0" applyFont="1"/>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center"/>
    </xf>
    <xf numFmtId="2" fontId="0" fillId="0" borderId="0" xfId="0" applyNumberFormat="1"/>
    <xf numFmtId="164" fontId="0" fillId="0" borderId="0" xfId="0" applyNumberFormat="1" applyFill="1"/>
    <xf numFmtId="44" fontId="2" fillId="0" borderId="0" xfId="2" applyFont="1" applyFill="1"/>
    <xf numFmtId="0" fontId="15" fillId="13" borderId="0" xfId="0" applyFont="1" applyFill="1"/>
    <xf numFmtId="0" fontId="19" fillId="13" borderId="0" xfId="0" applyFont="1" applyFill="1"/>
    <xf numFmtId="0" fontId="0" fillId="13" borderId="0" xfId="0" applyFill="1"/>
    <xf numFmtId="44" fontId="15" fillId="13" borderId="0" xfId="2" applyFont="1" applyFill="1"/>
    <xf numFmtId="2" fontId="0" fillId="14" borderId="0" xfId="0" applyNumberFormat="1" applyFill="1"/>
    <xf numFmtId="44" fontId="0" fillId="15" borderId="0" xfId="0" applyNumberFormat="1" applyFill="1"/>
    <xf numFmtId="44" fontId="0" fillId="16" borderId="0" xfId="0" applyNumberFormat="1" applyFill="1"/>
    <xf numFmtId="44" fontId="0" fillId="8" borderId="0" xfId="0" applyNumberFormat="1" applyFill="1"/>
    <xf numFmtId="0" fontId="17" fillId="0" borderId="1" xfId="0" applyFont="1" applyBorder="1"/>
    <xf numFmtId="164" fontId="0" fillId="0" borderId="2" xfId="2" applyNumberFormat="1" applyFont="1" applyBorder="1"/>
    <xf numFmtId="44" fontId="2" fillId="0" borderId="2" xfId="0" applyNumberFormat="1" applyFont="1" applyBorder="1"/>
    <xf numFmtId="44" fontId="0" fillId="0" borderId="2" xfId="0" applyNumberFormat="1" applyBorder="1"/>
    <xf numFmtId="0" fontId="0" fillId="12" borderId="2" xfId="0" applyFill="1" applyBorder="1"/>
    <xf numFmtId="0" fontId="17" fillId="0" borderId="6" xfId="0" applyFont="1" applyBorder="1"/>
    <xf numFmtId="0" fontId="2" fillId="0" borderId="7" xfId="0" applyFont="1" applyBorder="1"/>
    <xf numFmtId="44" fontId="0" fillId="5" borderId="7" xfId="0" applyNumberFormat="1" applyFill="1" applyBorder="1"/>
    <xf numFmtId="44" fontId="0" fillId="11" borderId="7" xfId="0" applyNumberFormat="1" applyFill="1" applyBorder="1"/>
    <xf numFmtId="165" fontId="0" fillId="0" borderId="0" xfId="0" applyNumberFormat="1"/>
    <xf numFmtId="9" fontId="0" fillId="0" borderId="0" xfId="0" applyNumberFormat="1"/>
    <xf numFmtId="0" fontId="0" fillId="9" borderId="0" xfId="0" applyFill="1"/>
    <xf numFmtId="0" fontId="0" fillId="9" borderId="0" xfId="0" applyFill="1" applyBorder="1"/>
    <xf numFmtId="0" fontId="0" fillId="19" borderId="4" xfId="0" applyFill="1" applyBorder="1"/>
    <xf numFmtId="0" fontId="27" fillId="0" borderId="0" xfId="0" applyFont="1"/>
    <xf numFmtId="0" fontId="28" fillId="0" borderId="0" xfId="0" applyFont="1"/>
    <xf numFmtId="0" fontId="0" fillId="0" borderId="22" xfId="0" applyBorder="1"/>
    <xf numFmtId="0" fontId="0" fillId="0" borderId="23" xfId="0" applyBorder="1"/>
    <xf numFmtId="0" fontId="0" fillId="0" borderId="23" xfId="0" applyBorder="1" applyAlignment="1">
      <alignment horizontal="center"/>
    </xf>
    <xf numFmtId="0" fontId="0" fillId="0" borderId="24" xfId="0" applyBorder="1" applyAlignment="1">
      <alignment horizontal="center"/>
    </xf>
    <xf numFmtId="0" fontId="0" fillId="0" borderId="0" xfId="0" applyFont="1" applyFill="1" applyBorder="1" applyAlignment="1">
      <alignment horizontal="center"/>
    </xf>
    <xf numFmtId="0" fontId="25" fillId="0" borderId="0" xfId="0" applyFont="1"/>
    <xf numFmtId="3" fontId="0" fillId="0" borderId="17" xfId="0" applyNumberFormat="1" applyBorder="1"/>
    <xf numFmtId="3" fontId="0" fillId="0" borderId="26" xfId="0" applyNumberFormat="1" applyBorder="1"/>
    <xf numFmtId="3" fontId="0" fillId="0" borderId="0" xfId="0" applyNumberFormat="1"/>
    <xf numFmtId="9" fontId="0" fillId="8" borderId="0" xfId="0" applyNumberFormat="1" applyFill="1"/>
    <xf numFmtId="44" fontId="0" fillId="0" borderId="20" xfId="0" applyNumberFormat="1" applyBorder="1"/>
    <xf numFmtId="44" fontId="0" fillId="0" borderId="25" xfId="0" applyNumberFormat="1" applyBorder="1"/>
    <xf numFmtId="10" fontId="0" fillId="0" borderId="0" xfId="0" applyNumberFormat="1"/>
    <xf numFmtId="0" fontId="29" fillId="9" borderId="0" xfId="0" applyFont="1" applyFill="1" applyBorder="1" applyAlignment="1"/>
    <xf numFmtId="0" fontId="29" fillId="0" borderId="0" xfId="0" applyFont="1" applyBorder="1" applyAlignment="1"/>
    <xf numFmtId="0" fontId="29" fillId="0" borderId="4" xfId="0" applyFont="1" applyBorder="1"/>
    <xf numFmtId="0" fontId="29" fillId="0" borderId="0" xfId="0" applyFont="1" applyBorder="1"/>
    <xf numFmtId="0" fontId="29" fillId="0" borderId="5" xfId="0" applyFont="1" applyBorder="1"/>
    <xf numFmtId="0" fontId="29" fillId="9" borderId="0" xfId="0" applyFont="1" applyFill="1" applyBorder="1"/>
    <xf numFmtId="42" fontId="29" fillId="0" borderId="5" xfId="0" applyNumberFormat="1" applyFont="1" applyBorder="1"/>
    <xf numFmtId="0" fontId="29" fillId="0" borderId="6" xfId="0" applyFont="1" applyBorder="1"/>
    <xf numFmtId="0" fontId="29" fillId="0" borderId="7" xfId="0" applyFont="1" applyBorder="1"/>
    <xf numFmtId="0" fontId="29" fillId="0" borderId="8" xfId="0" applyFont="1" applyBorder="1"/>
    <xf numFmtId="0" fontId="23" fillId="0" borderId="1" xfId="0" applyFont="1" applyBorder="1"/>
    <xf numFmtId="0" fontId="0" fillId="0" borderId="5" xfId="0" applyBorder="1" applyAlignment="1">
      <alignment horizontal="center"/>
    </xf>
    <xf numFmtId="0" fontId="0" fillId="0" borderId="0" xfId="0" applyBorder="1" applyAlignment="1">
      <alignment horizontal="center"/>
    </xf>
    <xf numFmtId="0" fontId="0" fillId="0" borderId="5" xfId="0" applyFont="1" applyFill="1" applyBorder="1" applyAlignment="1">
      <alignment horizontal="center"/>
    </xf>
    <xf numFmtId="0" fontId="28" fillId="0" borderId="0" xfId="0" applyFont="1" applyBorder="1"/>
    <xf numFmtId="42" fontId="0" fillId="13" borderId="7" xfId="0" applyNumberFormat="1" applyFill="1" applyBorder="1"/>
    <xf numFmtId="42" fontId="0" fillId="20" borderId="7" xfId="0" applyNumberFormat="1" applyFill="1" applyBorder="1"/>
    <xf numFmtId="42" fontId="0" fillId="20" borderId="8" xfId="0" applyNumberFormat="1" applyFill="1" applyBorder="1"/>
    <xf numFmtId="3" fontId="0" fillId="0" borderId="0" xfId="0" applyNumberFormat="1" applyBorder="1"/>
    <xf numFmtId="3" fontId="0" fillId="0" borderId="5" xfId="0" applyNumberFormat="1" applyBorder="1"/>
    <xf numFmtId="164" fontId="0" fillId="0" borderId="0" xfId="0" applyNumberFormat="1" applyBorder="1"/>
    <xf numFmtId="0" fontId="28" fillId="0" borderId="6" xfId="0" applyFont="1" applyBorder="1"/>
    <xf numFmtId="164" fontId="23" fillId="0" borderId="11" xfId="0" applyNumberFormat="1" applyFont="1" applyBorder="1"/>
    <xf numFmtId="164" fontId="23" fillId="0" borderId="12" xfId="0" applyNumberFormat="1" applyFont="1" applyBorder="1"/>
    <xf numFmtId="42" fontId="0" fillId="0" borderId="0" xfId="0" applyNumberFormat="1" applyBorder="1"/>
    <xf numFmtId="0" fontId="0" fillId="0" borderId="5" xfId="0" applyFont="1" applyBorder="1" applyAlignment="1">
      <alignment horizontal="center"/>
    </xf>
    <xf numFmtId="0" fontId="28" fillId="0" borderId="4" xfId="0" applyFont="1" applyBorder="1"/>
    <xf numFmtId="42" fontId="0" fillId="13" borderId="0" xfId="0" applyNumberFormat="1" applyFill="1" applyBorder="1" applyAlignment="1">
      <alignment horizontal="center"/>
    </xf>
    <xf numFmtId="42" fontId="0" fillId="10" borderId="0" xfId="0" applyNumberFormat="1" applyFill="1" applyBorder="1" applyAlignment="1">
      <alignment horizontal="center"/>
    </xf>
    <xf numFmtId="42" fontId="0" fillId="0" borderId="5" xfId="0" applyNumberFormat="1" applyFont="1" applyFill="1" applyBorder="1" applyAlignment="1">
      <alignment horizontal="center"/>
    </xf>
    <xf numFmtId="42" fontId="0" fillId="0" borderId="0" xfId="0" applyNumberFormat="1" applyFill="1" applyBorder="1"/>
    <xf numFmtId="42" fontId="0" fillId="0" borderId="5" xfId="0" applyNumberFormat="1" applyFill="1" applyBorder="1"/>
    <xf numFmtId="0" fontId="28" fillId="9" borderId="0" xfId="0" applyFont="1" applyFill="1" applyAlignment="1">
      <alignment horizontal="center"/>
    </xf>
    <xf numFmtId="0" fontId="25" fillId="0" borderId="4" xfId="0" applyFont="1" applyBorder="1"/>
    <xf numFmtId="9" fontId="0" fillId="9" borderId="0" xfId="0" applyNumberFormat="1" applyFill="1" applyAlignment="1">
      <alignment horizontal="center"/>
    </xf>
    <xf numFmtId="0" fontId="28" fillId="0" borderId="4" xfId="0" applyFont="1" applyFill="1" applyBorder="1"/>
    <xf numFmtId="9" fontId="0" fillId="9" borderId="0" xfId="3" applyFont="1" applyFill="1" applyAlignment="1">
      <alignment horizontal="center"/>
    </xf>
    <xf numFmtId="42" fontId="0" fillId="0" borderId="7" xfId="0" applyNumberFormat="1" applyBorder="1"/>
    <xf numFmtId="42" fontId="23" fillId="10" borderId="7" xfId="0" applyNumberFormat="1" applyFont="1" applyFill="1" applyBorder="1"/>
    <xf numFmtId="42" fontId="23" fillId="0" borderId="8" xfId="0" applyNumberFormat="1" applyFont="1" applyBorder="1"/>
    <xf numFmtId="10" fontId="0" fillId="9" borderId="0" xfId="0" applyNumberFormat="1" applyFill="1" applyAlignment="1">
      <alignment horizontal="center"/>
    </xf>
    <xf numFmtId="0" fontId="30" fillId="0" borderId="6" xfId="0" applyFont="1" applyFill="1" applyBorder="1"/>
    <xf numFmtId="0" fontId="0" fillId="0" borderId="7" xfId="0" applyFill="1" applyBorder="1"/>
    <xf numFmtId="42" fontId="0" fillId="0" borderId="7" xfId="0" applyNumberFormat="1" applyFill="1" applyBorder="1"/>
    <xf numFmtId="0" fontId="0" fillId="0" borderId="8" xfId="0" applyFill="1" applyBorder="1"/>
    <xf numFmtId="0" fontId="23" fillId="9" borderId="0" xfId="0" applyFont="1" applyFill="1"/>
    <xf numFmtId="42" fontId="23" fillId="9" borderId="0" xfId="0" applyNumberFormat="1" applyFont="1" applyFill="1"/>
    <xf numFmtId="0" fontId="32" fillId="0" borderId="29" xfId="0" applyFont="1" applyBorder="1" applyAlignment="1">
      <alignment horizontal="center"/>
    </xf>
    <xf numFmtId="0" fontId="32" fillId="0" borderId="31" xfId="0" applyFont="1" applyBorder="1" applyAlignment="1">
      <alignment horizontal="center" wrapText="1"/>
    </xf>
    <xf numFmtId="0" fontId="32" fillId="0" borderId="31" xfId="0" applyFont="1" applyBorder="1" applyAlignment="1">
      <alignment horizontal="center"/>
    </xf>
    <xf numFmtId="0" fontId="28" fillId="0" borderId="1" xfId="0" applyFont="1" applyBorder="1" applyAlignment="1">
      <alignment horizontal="center" vertical="center"/>
    </xf>
    <xf numFmtId="0" fontId="32" fillId="0" borderId="4" xfId="0" applyFont="1" applyBorder="1" applyAlignment="1">
      <alignment horizontal="center"/>
    </xf>
    <xf numFmtId="0" fontId="25" fillId="0" borderId="0" xfId="0" applyFont="1" applyBorder="1"/>
    <xf numFmtId="0" fontId="32" fillId="0" borderId="0" xfId="0" applyFont="1" applyBorder="1" applyAlignment="1">
      <alignment horizontal="center"/>
    </xf>
    <xf numFmtId="3" fontId="0" fillId="19" borderId="0" xfId="0" applyNumberFormat="1" applyFill="1" applyBorder="1"/>
    <xf numFmtId="3" fontId="0" fillId="21" borderId="0" xfId="0" applyNumberFormat="1" applyFill="1" applyBorder="1"/>
    <xf numFmtId="3" fontId="0" fillId="13" borderId="0" xfId="0" applyNumberFormat="1" applyFill="1" applyBorder="1"/>
    <xf numFmtId="3" fontId="0" fillId="0" borderId="8" xfId="0" applyNumberFormat="1" applyBorder="1"/>
    <xf numFmtId="0" fontId="0" fillId="0" borderId="4" xfId="0" applyFill="1" applyBorder="1"/>
    <xf numFmtId="0" fontId="0" fillId="0" borderId="5" xfId="0" applyFill="1" applyBorder="1"/>
    <xf numFmtId="168" fontId="0" fillId="0" borderId="7" xfId="0" applyNumberFormat="1" applyBorder="1"/>
    <xf numFmtId="3" fontId="0" fillId="0" borderId="7" xfId="0" applyNumberFormat="1" applyBorder="1"/>
    <xf numFmtId="0" fontId="28" fillId="0" borderId="6" xfId="0" applyFont="1" applyFill="1" applyBorder="1"/>
    <xf numFmtId="0" fontId="25" fillId="0" borderId="7" xfId="0" applyFont="1" applyFill="1" applyBorder="1"/>
    <xf numFmtId="0" fontId="27" fillId="0" borderId="7" xfId="0" applyFont="1" applyFill="1" applyBorder="1"/>
    <xf numFmtId="16" fontId="27" fillId="0" borderId="7" xfId="0" applyNumberFormat="1" applyFont="1" applyFill="1" applyBorder="1"/>
    <xf numFmtId="0" fontId="28" fillId="9" borderId="0" xfId="0" applyFont="1" applyFill="1" applyBorder="1"/>
    <xf numFmtId="42" fontId="0" fillId="9" borderId="0" xfId="0" applyNumberFormat="1" applyFill="1" applyBorder="1"/>
    <xf numFmtId="0" fontId="23" fillId="0" borderId="0" xfId="0" applyFont="1" applyBorder="1"/>
    <xf numFmtId="0" fontId="0" fillId="0" borderId="1" xfId="0" applyFill="1" applyBorder="1"/>
    <xf numFmtId="0" fontId="0" fillId="0" borderId="2" xfId="0" applyFill="1" applyBorder="1"/>
    <xf numFmtId="42" fontId="0" fillId="0" borderId="2" xfId="0" applyNumberFormat="1" applyFill="1" applyBorder="1"/>
    <xf numFmtId="42" fontId="0" fillId="0" borderId="3" xfId="0" applyNumberFormat="1" applyFill="1" applyBorder="1"/>
    <xf numFmtId="0" fontId="23" fillId="0" borderId="0" xfId="0" applyFont="1" applyFill="1" applyBorder="1"/>
    <xf numFmtId="42" fontId="23" fillId="0" borderId="0" xfId="0" applyNumberFormat="1" applyFont="1" applyFill="1" applyBorder="1"/>
    <xf numFmtId="42" fontId="23" fillId="0" borderId="5" xfId="0" applyNumberFormat="1" applyFont="1" applyFill="1" applyBorder="1"/>
    <xf numFmtId="0" fontId="33" fillId="9" borderId="0" xfId="0" applyFont="1" applyFill="1" applyBorder="1" applyAlignment="1">
      <alignment horizontal="center"/>
    </xf>
    <xf numFmtId="0" fontId="28" fillId="0" borderId="0" xfId="0" applyFont="1" applyFill="1" applyBorder="1"/>
    <xf numFmtId="42" fontId="0" fillId="0" borderId="0" xfId="0" applyNumberFormat="1"/>
    <xf numFmtId="42" fontId="0" fillId="17" borderId="0" xfId="0" applyNumberFormat="1" applyFill="1"/>
    <xf numFmtId="0" fontId="0" fillId="0" borderId="0" xfId="0" applyFont="1" applyFill="1" applyBorder="1"/>
    <xf numFmtId="0" fontId="34" fillId="0" borderId="0" xfId="0" applyFont="1"/>
    <xf numFmtId="42" fontId="34" fillId="0" borderId="0" xfId="0" applyNumberFormat="1" applyFont="1"/>
    <xf numFmtId="0" fontId="34" fillId="0" borderId="0" xfId="0" quotePrefix="1" applyFont="1"/>
    <xf numFmtId="0" fontId="0" fillId="0" borderId="6" xfId="0" applyFill="1" applyBorder="1"/>
    <xf numFmtId="42" fontId="35" fillId="0" borderId="0" xfId="0" applyNumberFormat="1" applyFont="1"/>
    <xf numFmtId="0" fontId="36" fillId="0" borderId="0" xfId="0" applyFont="1"/>
    <xf numFmtId="16" fontId="36" fillId="0" borderId="0" xfId="0" applyNumberFormat="1" applyFont="1"/>
    <xf numFmtId="0" fontId="35" fillId="0" borderId="0" xfId="0" applyFont="1"/>
    <xf numFmtId="0" fontId="17" fillId="0" borderId="31" xfId="0" applyFont="1" applyBorder="1" applyAlignment="1">
      <alignment horizontal="center"/>
    </xf>
    <xf numFmtId="0" fontId="17" fillId="0" borderId="0" xfId="0" applyFont="1" applyBorder="1" applyAlignment="1">
      <alignment horizontal="center"/>
    </xf>
    <xf numFmtId="0" fontId="37" fillId="0" borderId="1" xfId="0" applyFont="1" applyBorder="1"/>
    <xf numFmtId="0" fontId="15" fillId="0" borderId="2" xfId="0" applyFont="1" applyBorder="1" applyAlignment="1">
      <alignment horizontal="center"/>
    </xf>
    <xf numFmtId="165" fontId="15" fillId="0" borderId="2" xfId="1" applyNumberFormat="1" applyFont="1" applyBorder="1"/>
    <xf numFmtId="165" fontId="15" fillId="11" borderId="2" xfId="1" applyNumberFormat="1" applyFont="1" applyFill="1" applyBorder="1"/>
    <xf numFmtId="0" fontId="15" fillId="0" borderId="2" xfId="0" applyFont="1" applyBorder="1"/>
    <xf numFmtId="165" fontId="15" fillId="0" borderId="3" xfId="1" applyNumberFormat="1" applyFont="1" applyBorder="1"/>
    <xf numFmtId="0" fontId="37" fillId="0" borderId="4" xfId="0" applyFont="1" applyBorder="1"/>
    <xf numFmtId="0" fontId="15" fillId="0" borderId="0" xfId="0" applyFont="1" applyBorder="1" applyAlignment="1">
      <alignment horizontal="center"/>
    </xf>
    <xf numFmtId="164" fontId="15" fillId="0" borderId="0" xfId="2" applyNumberFormat="1" applyFont="1" applyBorder="1"/>
    <xf numFmtId="164" fontId="15" fillId="18" borderId="0" xfId="2" applyNumberFormat="1" applyFont="1" applyFill="1" applyBorder="1"/>
    <xf numFmtId="164" fontId="15" fillId="0" borderId="5" xfId="2" applyNumberFormat="1" applyFont="1" applyBorder="1"/>
    <xf numFmtId="0" fontId="15" fillId="0" borderId="7" xfId="0" applyFont="1" applyBorder="1"/>
    <xf numFmtId="0" fontId="15" fillId="0" borderId="8" xfId="0" applyFont="1" applyBorder="1"/>
    <xf numFmtId="0" fontId="37" fillId="0" borderId="0" xfId="0" applyFont="1"/>
    <xf numFmtId="0" fontId="15" fillId="0" borderId="0" xfId="0" applyFont="1" applyAlignment="1">
      <alignment horizontal="center"/>
    </xf>
    <xf numFmtId="165" fontId="15" fillId="0" borderId="0" xfId="1" applyNumberFormat="1" applyFont="1"/>
    <xf numFmtId="165" fontId="15" fillId="11" borderId="0" xfId="1" applyNumberFormat="1" applyFont="1" applyFill="1"/>
    <xf numFmtId="164" fontId="15" fillId="0" borderId="0" xfId="2" applyNumberFormat="1" applyFont="1"/>
    <xf numFmtId="164" fontId="15" fillId="18" borderId="0" xfId="2" applyNumberFormat="1" applyFont="1" applyFill="1"/>
    <xf numFmtId="0" fontId="38" fillId="0" borderId="0" xfId="0" applyFont="1"/>
    <xf numFmtId="42" fontId="20" fillId="0" borderId="0" xfId="0" applyNumberFormat="1" applyFont="1" applyFill="1" applyBorder="1"/>
    <xf numFmtId="0" fontId="15" fillId="0" borderId="0" xfId="0" applyFont="1" applyBorder="1"/>
    <xf numFmtId="164" fontId="15" fillId="0" borderId="0" xfId="0" applyNumberFormat="1" applyFont="1"/>
    <xf numFmtId="6" fontId="15" fillId="0" borderId="0" xfId="0" applyNumberFormat="1" applyFont="1"/>
    <xf numFmtId="9" fontId="15" fillId="0" borderId="0" xfId="0" applyNumberFormat="1" applyFont="1"/>
    <xf numFmtId="0" fontId="39" fillId="0" borderId="1" xfId="0" applyFont="1" applyBorder="1"/>
    <xf numFmtId="0" fontId="26" fillId="0" borderId="2" xfId="0" applyFont="1" applyBorder="1"/>
    <xf numFmtId="165" fontId="20" fillId="0" borderId="2" xfId="0" applyNumberFormat="1" applyFont="1" applyBorder="1"/>
    <xf numFmtId="0" fontId="15" fillId="0" borderId="4" xfId="0" applyFont="1" applyBorder="1"/>
    <xf numFmtId="165" fontId="20" fillId="0" borderId="0" xfId="0" applyNumberFormat="1" applyFont="1" applyBorder="1"/>
    <xf numFmtId="9" fontId="15" fillId="13" borderId="0" xfId="0" applyNumberFormat="1" applyFont="1" applyFill="1"/>
    <xf numFmtId="165" fontId="20" fillId="13" borderId="0" xfId="0" applyNumberFormat="1" applyFont="1" applyFill="1" applyBorder="1"/>
    <xf numFmtId="0" fontId="15" fillId="0" borderId="6" xfId="0" applyFont="1" applyBorder="1"/>
    <xf numFmtId="0" fontId="20" fillId="0" borderId="0" xfId="0" applyFont="1" applyBorder="1"/>
    <xf numFmtId="0" fontId="40" fillId="0" borderId="0" xfId="0" applyFont="1" applyBorder="1"/>
    <xf numFmtId="44" fontId="20" fillId="0" borderId="0" xfId="0" applyNumberFormat="1" applyFont="1" applyBorder="1"/>
    <xf numFmtId="9" fontId="15" fillId="0" borderId="0" xfId="3" applyFont="1"/>
    <xf numFmtId="0" fontId="20" fillId="13" borderId="0" xfId="0" applyFont="1" applyFill="1" applyBorder="1"/>
    <xf numFmtId="164" fontId="20" fillId="0" borderId="0" xfId="0" applyNumberFormat="1" applyFont="1" applyBorder="1"/>
    <xf numFmtId="0" fontId="20" fillId="0" borderId="7" xfId="0" applyFont="1" applyBorder="1"/>
    <xf numFmtId="0" fontId="21" fillId="0" borderId="9" xfId="0" applyFont="1" applyBorder="1"/>
    <xf numFmtId="0" fontId="15" fillId="0" borderId="3" xfId="0" applyFont="1" applyBorder="1"/>
    <xf numFmtId="0" fontId="15" fillId="0" borderId="4" xfId="0" applyFont="1" applyBorder="1" applyAlignment="1">
      <alignment horizontal="left"/>
    </xf>
    <xf numFmtId="0" fontId="15" fillId="0" borderId="0" xfId="0" applyFont="1" applyBorder="1" applyAlignment="1">
      <alignment horizontal="left"/>
    </xf>
    <xf numFmtId="0" fontId="15" fillId="8" borderId="4" xfId="0" applyFont="1" applyFill="1" applyBorder="1"/>
    <xf numFmtId="0" fontId="15" fillId="8" borderId="0" xfId="0" applyFont="1" applyFill="1" applyBorder="1"/>
    <xf numFmtId="0" fontId="15" fillId="0" borderId="0" xfId="0" applyFont="1" applyFill="1" applyBorder="1"/>
    <xf numFmtId="0" fontId="15" fillId="18" borderId="0" xfId="0" applyFont="1" applyFill="1" applyBorder="1"/>
    <xf numFmtId="165" fontId="15" fillId="0" borderId="0" xfId="1" applyNumberFormat="1" applyFont="1" applyAlignment="1">
      <alignment horizontal="right"/>
    </xf>
    <xf numFmtId="43" fontId="15" fillId="0" borderId="0" xfId="1" applyFont="1" applyAlignment="1">
      <alignment horizontal="right"/>
    </xf>
    <xf numFmtId="0" fontId="15" fillId="8" borderId="5" xfId="0" applyFont="1" applyFill="1" applyBorder="1"/>
    <xf numFmtId="0" fontId="15" fillId="0" borderId="0" xfId="0" applyFont="1" applyAlignment="1">
      <alignment horizontal="right"/>
    </xf>
    <xf numFmtId="44" fontId="15" fillId="0" borderId="0" xfId="2" applyNumberFormat="1" applyFont="1"/>
    <xf numFmtId="0" fontId="37" fillId="8" borderId="10" xfId="0" applyFont="1" applyFill="1" applyBorder="1"/>
    <xf numFmtId="44" fontId="15" fillId="0" borderId="0" xfId="2" applyNumberFormat="1" applyFont="1" applyAlignment="1">
      <alignment horizontal="right"/>
    </xf>
    <xf numFmtId="0" fontId="37" fillId="0" borderId="0" xfId="0" applyFont="1" applyFill="1" applyBorder="1"/>
    <xf numFmtId="0" fontId="0" fillId="18" borderId="0" xfId="0" applyFill="1"/>
    <xf numFmtId="44" fontId="15" fillId="18" borderId="0" xfId="2" applyNumberFormat="1" applyFont="1" applyFill="1" applyAlignment="1">
      <alignment horizontal="right"/>
    </xf>
    <xf numFmtId="0" fontId="15" fillId="0" borderId="1" xfId="0" applyFont="1" applyBorder="1"/>
    <xf numFmtId="165" fontId="15" fillId="0" borderId="0" xfId="0" applyNumberFormat="1" applyFont="1" applyBorder="1"/>
    <xf numFmtId="0" fontId="0" fillId="0" borderId="0" xfId="0" applyFont="1" applyBorder="1"/>
    <xf numFmtId="43" fontId="15" fillId="0" borderId="0" xfId="0" applyNumberFormat="1" applyFont="1" applyBorder="1"/>
    <xf numFmtId="0" fontId="39" fillId="0" borderId="2" xfId="0" applyFont="1" applyBorder="1"/>
    <xf numFmtId="0" fontId="15" fillId="0" borderId="5" xfId="0" applyFont="1" applyBorder="1"/>
    <xf numFmtId="44" fontId="15" fillId="0" borderId="7" xfId="0" applyNumberFormat="1" applyFont="1" applyBorder="1"/>
    <xf numFmtId="164" fontId="37" fillId="0" borderId="8" xfId="2" applyNumberFormat="1" applyFont="1" applyBorder="1"/>
    <xf numFmtId="165" fontId="15" fillId="13" borderId="0" xfId="0" applyNumberFormat="1" applyFont="1" applyFill="1" applyBorder="1"/>
    <xf numFmtId="165" fontId="14" fillId="0" borderId="9" xfId="0" applyNumberFormat="1" applyFont="1" applyBorder="1"/>
    <xf numFmtId="0" fontId="42" fillId="0" borderId="0" xfId="0" applyFont="1"/>
    <xf numFmtId="1" fontId="0" fillId="19" borderId="0" xfId="0" applyNumberFormat="1" applyFill="1" applyBorder="1" applyAlignment="1">
      <alignment horizontal="right"/>
    </xf>
    <xf numFmtId="8" fontId="0" fillId="0" borderId="0" xfId="0" applyNumberFormat="1"/>
    <xf numFmtId="0" fontId="23" fillId="19" borderId="1" xfId="0" applyFont="1" applyFill="1" applyBorder="1"/>
    <xf numFmtId="0" fontId="0" fillId="19" borderId="2" xfId="0" applyFill="1" applyBorder="1"/>
    <xf numFmtId="0" fontId="0" fillId="19" borderId="3" xfId="0" applyFill="1" applyBorder="1"/>
    <xf numFmtId="0" fontId="0" fillId="19" borderId="0" xfId="0" applyFill="1" applyBorder="1"/>
    <xf numFmtId="0" fontId="0" fillId="19" borderId="0" xfId="0" applyFill="1" applyBorder="1" applyAlignment="1">
      <alignment horizontal="center"/>
    </xf>
    <xf numFmtId="9" fontId="28" fillId="19" borderId="0" xfId="0" applyNumberFormat="1" applyFont="1" applyFill="1" applyBorder="1" applyAlignment="1">
      <alignment horizontal="right"/>
    </xf>
    <xf numFmtId="0" fontId="28" fillId="19" borderId="5" xfId="0" applyFont="1" applyFill="1" applyBorder="1" applyAlignment="1">
      <alignment horizontal="right"/>
    </xf>
    <xf numFmtId="0" fontId="25" fillId="19" borderId="4" xfId="0" applyFont="1" applyFill="1" applyBorder="1"/>
    <xf numFmtId="1" fontId="0" fillId="19" borderId="5" xfId="0" applyNumberFormat="1" applyFill="1" applyBorder="1" applyAlignment="1">
      <alignment horizontal="right"/>
    </xf>
    <xf numFmtId="0" fontId="25" fillId="19" borderId="6" xfId="0" applyFont="1" applyFill="1" applyBorder="1"/>
    <xf numFmtId="1" fontId="0" fillId="19" borderId="7" xfId="0" applyNumberFormat="1" applyFill="1" applyBorder="1" applyAlignment="1">
      <alignment horizontal="right"/>
    </xf>
    <xf numFmtId="1" fontId="23" fillId="19" borderId="7" xfId="0" applyNumberFormat="1" applyFont="1" applyFill="1" applyBorder="1" applyAlignment="1">
      <alignment horizontal="right"/>
    </xf>
    <xf numFmtId="1" fontId="23" fillId="19" borderId="9" xfId="0" applyNumberFormat="1" applyFont="1" applyFill="1" applyBorder="1" applyAlignment="1">
      <alignment horizontal="right"/>
    </xf>
    <xf numFmtId="1" fontId="23" fillId="19" borderId="10" xfId="0" applyNumberFormat="1" applyFont="1" applyFill="1" applyBorder="1" applyAlignment="1">
      <alignment horizontal="right"/>
    </xf>
    <xf numFmtId="0" fontId="42" fillId="0" borderId="4" xfId="0" applyFont="1" applyFill="1" applyBorder="1"/>
    <xf numFmtId="0" fontId="24" fillId="0" borderId="4" xfId="0" applyFont="1" applyBorder="1"/>
    <xf numFmtId="0" fontId="24" fillId="0" borderId="6" xfId="0" applyFont="1" applyBorder="1"/>
    <xf numFmtId="3" fontId="2" fillId="0" borderId="5" xfId="0" applyNumberFormat="1" applyFont="1" applyBorder="1"/>
    <xf numFmtId="3" fontId="2" fillId="0" borderId="8" xfId="0" applyNumberFormat="1" applyFont="1" applyBorder="1"/>
    <xf numFmtId="0" fontId="0" fillId="0" borderId="0" xfId="0" quotePrefix="1"/>
    <xf numFmtId="164" fontId="2" fillId="0" borderId="0" xfId="2" applyNumberFormat="1" applyFont="1"/>
    <xf numFmtId="0" fontId="37" fillId="9" borderId="0" xfId="0" applyFont="1" applyFill="1"/>
    <xf numFmtId="0" fontId="43" fillId="0" borderId="0" xfId="0" applyFont="1"/>
    <xf numFmtId="0" fontId="37" fillId="0" borderId="16" xfId="0" applyFont="1" applyBorder="1"/>
    <xf numFmtId="0" fontId="15" fillId="0" borderId="0" xfId="0" quotePrefix="1" applyFont="1" applyAlignment="1">
      <alignment horizontal="right"/>
    </xf>
    <xf numFmtId="0" fontId="0" fillId="0" borderId="0" xfId="0" quotePrefix="1" applyAlignment="1">
      <alignment horizontal="right"/>
    </xf>
    <xf numFmtId="0" fontId="15" fillId="0" borderId="31" xfId="0" applyFont="1" applyBorder="1"/>
    <xf numFmtId="0" fontId="0" fillId="0" borderId="31" xfId="0" applyBorder="1"/>
    <xf numFmtId="0" fontId="2" fillId="0" borderId="0" xfId="0" quotePrefix="1" applyFont="1" applyAlignment="1">
      <alignment horizontal="right"/>
    </xf>
    <xf numFmtId="0" fontId="44" fillId="0" borderId="0" xfId="0" applyFont="1"/>
    <xf numFmtId="0" fontId="45" fillId="0" borderId="0" xfId="0" applyFont="1"/>
    <xf numFmtId="0" fontId="46" fillId="0" borderId="0" xfId="0" applyFont="1"/>
    <xf numFmtId="164" fontId="45" fillId="0" borderId="0" xfId="2" applyNumberFormat="1" applyFont="1"/>
    <xf numFmtId="164" fontId="45" fillId="0" borderId="0" xfId="0" applyNumberFormat="1" applyFont="1"/>
    <xf numFmtId="0" fontId="46" fillId="13" borderId="11" xfId="0" applyFont="1" applyFill="1" applyBorder="1"/>
    <xf numFmtId="0" fontId="47" fillId="0" borderId="0" xfId="0" applyFont="1"/>
    <xf numFmtId="0" fontId="48" fillId="0" borderId="0" xfId="0" applyFont="1"/>
    <xf numFmtId="164" fontId="47" fillId="0" borderId="0" xfId="2" applyNumberFormat="1" applyFont="1"/>
    <xf numFmtId="44" fontId="47" fillId="0" borderId="0" xfId="0" applyNumberFormat="1" applyFont="1"/>
    <xf numFmtId="164" fontId="47" fillId="0" borderId="0" xfId="0" applyNumberFormat="1" applyFont="1"/>
    <xf numFmtId="2" fontId="48" fillId="13" borderId="11" xfId="0" applyNumberFormat="1" applyFont="1" applyFill="1" applyBorder="1"/>
    <xf numFmtId="0" fontId="49" fillId="0" borderId="0" xfId="0" applyFont="1"/>
    <xf numFmtId="0" fontId="50" fillId="0" borderId="0" xfId="0" applyFont="1" applyAlignment="1">
      <alignment horizontal="left"/>
    </xf>
    <xf numFmtId="0" fontId="52" fillId="0" borderId="0" xfId="0" applyFont="1" applyAlignment="1">
      <alignment horizontal="left"/>
    </xf>
    <xf numFmtId="0" fontId="52" fillId="0" borderId="0" xfId="0" applyFont="1"/>
    <xf numFmtId="0" fontId="53" fillId="0" borderId="0" xfId="0" applyFont="1" applyAlignment="1">
      <alignment horizontal="center"/>
    </xf>
    <xf numFmtId="0" fontId="53" fillId="0" borderId="0" xfId="0" applyFont="1" applyAlignment="1">
      <alignment horizontal="left"/>
    </xf>
    <xf numFmtId="0" fontId="54" fillId="0" borderId="0" xfId="0" applyFont="1" applyAlignment="1">
      <alignment horizontal="left"/>
    </xf>
    <xf numFmtId="42" fontId="52" fillId="0" borderId="0" xfId="0" applyNumberFormat="1" applyFont="1" applyAlignment="1">
      <alignment horizontal="left"/>
    </xf>
    <xf numFmtId="42" fontId="52" fillId="15" borderId="0" xfId="0" applyNumberFormat="1" applyFont="1" applyFill="1" applyAlignment="1">
      <alignment horizontal="left"/>
    </xf>
    <xf numFmtId="42" fontId="52" fillId="16" borderId="0" xfId="0" applyNumberFormat="1" applyFont="1" applyFill="1" applyAlignment="1">
      <alignment horizontal="left"/>
    </xf>
    <xf numFmtId="0" fontId="0" fillId="15" borderId="0" xfId="0" applyFill="1"/>
    <xf numFmtId="42" fontId="52" fillId="11" borderId="0" xfId="0" applyNumberFormat="1" applyFont="1" applyFill="1" applyAlignment="1">
      <alignment horizontal="left"/>
    </xf>
    <xf numFmtId="0" fontId="52" fillId="9" borderId="0" xfId="0" applyFont="1" applyFill="1"/>
    <xf numFmtId="42" fontId="52" fillId="9" borderId="0" xfId="0" applyNumberFormat="1" applyFont="1" applyFill="1" applyAlignment="1">
      <alignment horizontal="left"/>
    </xf>
    <xf numFmtId="0" fontId="0" fillId="2" borderId="0" xfId="0" applyFill="1"/>
    <xf numFmtId="42" fontId="2" fillId="0" borderId="11" xfId="0" applyNumberFormat="1" applyFont="1" applyBorder="1"/>
    <xf numFmtId="0" fontId="0" fillId="11" borderId="0" xfId="0" applyFill="1"/>
    <xf numFmtId="0" fontId="53" fillId="13" borderId="0" xfId="0" applyFont="1" applyFill="1" applyAlignment="1">
      <alignment horizontal="center"/>
    </xf>
    <xf numFmtId="9" fontId="52" fillId="0" borderId="0" xfId="3" applyFont="1" applyAlignment="1">
      <alignment horizontal="center"/>
    </xf>
    <xf numFmtId="9" fontId="52" fillId="0" borderId="0" xfId="3" applyFont="1" applyFill="1" applyAlignment="1">
      <alignment horizontal="center"/>
    </xf>
    <xf numFmtId="0" fontId="50" fillId="0" borderId="0" xfId="0" applyFont="1"/>
    <xf numFmtId="44" fontId="52" fillId="0" borderId="0" xfId="0" applyNumberFormat="1" applyFont="1"/>
    <xf numFmtId="42" fontId="52" fillId="16" borderId="0" xfId="0" applyNumberFormat="1" applyFont="1" applyFill="1"/>
    <xf numFmtId="42" fontId="52" fillId="0" borderId="0" xfId="0" applyNumberFormat="1" applyFont="1"/>
    <xf numFmtId="164" fontId="52" fillId="0" borderId="0" xfId="2" applyNumberFormat="1" applyFont="1"/>
    <xf numFmtId="42" fontId="52" fillId="16" borderId="11" xfId="0" applyNumberFormat="1" applyFont="1" applyFill="1" applyBorder="1"/>
    <xf numFmtId="42" fontId="50" fillId="15" borderId="0" xfId="0" applyNumberFormat="1" applyFont="1" applyFill="1"/>
    <xf numFmtId="42" fontId="52" fillId="15" borderId="0" xfId="0" applyNumberFormat="1" applyFont="1" applyFill="1"/>
    <xf numFmtId="0" fontId="52" fillId="0" borderId="0" xfId="0" applyFont="1" applyFill="1"/>
    <xf numFmtId="44" fontId="52" fillId="0" borderId="0" xfId="0" applyNumberFormat="1" applyFont="1" applyFill="1"/>
    <xf numFmtId="3" fontId="52" fillId="0" borderId="0" xfId="0" applyNumberFormat="1" applyFont="1" applyFill="1"/>
    <xf numFmtId="44" fontId="52" fillId="0" borderId="0" xfId="0" applyNumberFormat="1" applyFont="1" applyAlignment="1">
      <alignment horizontal="right"/>
    </xf>
    <xf numFmtId="44" fontId="52" fillId="0" borderId="0" xfId="0" applyNumberFormat="1" applyFont="1" applyAlignment="1">
      <alignment horizontal="left"/>
    </xf>
    <xf numFmtId="0" fontId="0" fillId="22" borderId="20" xfId="0" applyFill="1" applyBorder="1"/>
    <xf numFmtId="0" fontId="0" fillId="22" borderId="25" xfId="0" applyFill="1" applyBorder="1" applyAlignment="1"/>
    <xf numFmtId="0" fontId="0" fillId="22" borderId="18" xfId="0" applyFill="1" applyBorder="1"/>
    <xf numFmtId="0" fontId="0" fillId="22" borderId="22" xfId="0" applyFill="1" applyBorder="1"/>
    <xf numFmtId="0" fontId="0" fillId="22" borderId="24" xfId="0" applyFill="1" applyBorder="1" applyAlignment="1">
      <alignment horizontal="center"/>
    </xf>
    <xf numFmtId="0" fontId="0" fillId="22" borderId="35" xfId="0" applyFill="1" applyBorder="1"/>
    <xf numFmtId="0" fontId="0" fillId="22" borderId="36" xfId="0" applyFill="1" applyBorder="1"/>
    <xf numFmtId="0" fontId="0" fillId="22" borderId="37" xfId="0" applyFill="1" applyBorder="1" applyAlignment="1">
      <alignment horizontal="center"/>
    </xf>
    <xf numFmtId="9" fontId="0" fillId="16" borderId="32" xfId="0" applyNumberFormat="1" applyFill="1" applyBorder="1"/>
    <xf numFmtId="0" fontId="0" fillId="16" borderId="17" xfId="0" applyFill="1" applyBorder="1"/>
    <xf numFmtId="0" fontId="0" fillId="11" borderId="17" xfId="0" applyFill="1" applyBorder="1"/>
    <xf numFmtId="0" fontId="0" fillId="16" borderId="32" xfId="0" applyFill="1" applyBorder="1"/>
    <xf numFmtId="9" fontId="0" fillId="11" borderId="17" xfId="0" applyNumberFormat="1" applyFill="1" applyBorder="1"/>
    <xf numFmtId="9" fontId="0" fillId="0" borderId="0" xfId="3" applyFont="1" applyFill="1" applyBorder="1"/>
    <xf numFmtId="9" fontId="0" fillId="16" borderId="32" xfId="3" applyFont="1" applyFill="1" applyBorder="1"/>
    <xf numFmtId="9" fontId="0" fillId="0" borderId="0" xfId="3" applyFont="1" applyBorder="1"/>
    <xf numFmtId="9" fontId="0" fillId="11" borderId="17" xfId="3" applyFont="1" applyFill="1" applyBorder="1"/>
    <xf numFmtId="9" fontId="0" fillId="16" borderId="36" xfId="3" applyFont="1" applyFill="1" applyBorder="1"/>
    <xf numFmtId="0" fontId="0" fillId="16" borderId="20" xfId="0" applyFill="1" applyBorder="1"/>
    <xf numFmtId="9" fontId="0" fillId="11" borderId="38" xfId="3" applyFont="1" applyFill="1" applyBorder="1"/>
    <xf numFmtId="0" fontId="0" fillId="11" borderId="20" xfId="0" applyFill="1" applyBorder="1"/>
    <xf numFmtId="0" fontId="2" fillId="16" borderId="39" xfId="0" applyFont="1" applyFill="1" applyBorder="1"/>
    <xf numFmtId="0" fontId="2" fillId="11" borderId="11" xfId="0" applyFont="1" applyFill="1" applyBorder="1"/>
    <xf numFmtId="165" fontId="0" fillId="0" borderId="0" xfId="1" applyNumberFormat="1" applyFont="1"/>
    <xf numFmtId="0" fontId="0" fillId="16" borderId="0" xfId="0" quotePrefix="1" applyFont="1" applyFill="1" applyAlignment="1">
      <alignment horizontal="right"/>
    </xf>
    <xf numFmtId="0" fontId="0" fillId="16" borderId="0" xfId="0" applyFont="1" applyFill="1"/>
    <xf numFmtId="0" fontId="0" fillId="16" borderId="0" xfId="0" applyFill="1"/>
    <xf numFmtId="0" fontId="0" fillId="11" borderId="0" xfId="0" applyFont="1" applyFill="1"/>
    <xf numFmtId="0" fontId="0" fillId="0" borderId="0" xfId="0" applyFont="1"/>
    <xf numFmtId="0" fontId="0" fillId="0" borderId="40" xfId="0" applyFont="1" applyBorder="1" applyAlignment="1">
      <alignment horizontal="center"/>
    </xf>
    <xf numFmtId="0" fontId="0" fillId="0" borderId="41" xfId="0" applyFont="1" applyBorder="1" applyAlignment="1">
      <alignment horizontal="center"/>
    </xf>
    <xf numFmtId="0" fontId="0" fillId="0" borderId="40" xfId="0" applyFont="1" applyBorder="1"/>
    <xf numFmtId="9" fontId="0" fillId="0" borderId="40" xfId="3" applyFont="1" applyBorder="1" applyAlignment="1">
      <alignment horizontal="center"/>
    </xf>
    <xf numFmtId="9" fontId="0" fillId="0" borderId="3" xfId="3" applyFont="1" applyBorder="1" applyAlignment="1">
      <alignment horizontal="center"/>
    </xf>
    <xf numFmtId="0" fontId="0" fillId="0" borderId="41" xfId="0" applyFont="1" applyBorder="1"/>
    <xf numFmtId="9" fontId="0" fillId="0" borderId="41" xfId="3" applyFont="1" applyBorder="1" applyAlignment="1">
      <alignment horizontal="center"/>
    </xf>
    <xf numFmtId="9" fontId="0" fillId="0" borderId="8" xfId="3" applyFont="1" applyBorder="1" applyAlignment="1">
      <alignment horizontal="center"/>
    </xf>
    <xf numFmtId="0" fontId="0" fillId="0" borderId="40" xfId="0" applyFont="1" applyBorder="1" applyAlignment="1"/>
    <xf numFmtId="0" fontId="0" fillId="0" borderId="3" xfId="0" applyFont="1" applyBorder="1" applyAlignment="1">
      <alignment horizontal="center"/>
    </xf>
    <xf numFmtId="0" fontId="0" fillId="0" borderId="13" xfId="0" applyFont="1" applyBorder="1"/>
    <xf numFmtId="0" fontId="0" fillId="0" borderId="15" xfId="0" applyFont="1" applyBorder="1"/>
    <xf numFmtId="0" fontId="0" fillId="0" borderId="14" xfId="0" applyFont="1" applyBorder="1"/>
    <xf numFmtId="6" fontId="0" fillId="0" borderId="40" xfId="0" applyNumberFormat="1" applyFont="1" applyBorder="1"/>
    <xf numFmtId="0" fontId="2" fillId="18" borderId="3" xfId="0" applyFont="1" applyFill="1" applyBorder="1" applyAlignment="1">
      <alignment horizontal="center"/>
    </xf>
    <xf numFmtId="0" fontId="2" fillId="18" borderId="8" xfId="0" applyFont="1" applyFill="1" applyBorder="1" applyAlignment="1">
      <alignment horizontal="center"/>
    </xf>
    <xf numFmtId="169" fontId="0" fillId="0" borderId="40" xfId="0" applyNumberFormat="1" applyFont="1" applyBorder="1"/>
    <xf numFmtId="0" fontId="56" fillId="0" borderId="42" xfId="0" applyFont="1" applyBorder="1" applyAlignment="1">
      <alignment wrapText="1"/>
    </xf>
    <xf numFmtId="0" fontId="56" fillId="0" borderId="43" xfId="0" applyFont="1" applyBorder="1" applyAlignment="1">
      <alignment wrapText="1"/>
    </xf>
    <xf numFmtId="0" fontId="56" fillId="0" borderId="44" xfId="0" applyFont="1" applyBorder="1" applyAlignment="1">
      <alignment horizontal="center" wrapText="1"/>
    </xf>
    <xf numFmtId="0" fontId="56" fillId="0" borderId="44" xfId="0" applyFont="1" applyBorder="1" applyAlignment="1">
      <alignment horizontal="center"/>
    </xf>
    <xf numFmtId="0" fontId="56" fillId="0" borderId="45" xfId="0" applyFont="1" applyBorder="1" applyAlignment="1">
      <alignment horizontal="center" wrapText="1"/>
    </xf>
    <xf numFmtId="0" fontId="57" fillId="0" borderId="0" xfId="0" applyFont="1" applyBorder="1" applyAlignment="1">
      <alignment vertical="center" wrapText="1"/>
    </xf>
    <xf numFmtId="0" fontId="57" fillId="0" borderId="0" xfId="0" applyFont="1" applyBorder="1" applyAlignment="1">
      <alignment horizontal="center" vertical="center" wrapText="1"/>
    </xf>
    <xf numFmtId="0" fontId="57" fillId="0" borderId="0" xfId="0" applyFont="1" applyBorder="1" applyAlignment="1">
      <alignment horizontal="center" vertical="center"/>
    </xf>
    <xf numFmtId="0" fontId="58" fillId="0" borderId="22" xfId="0" applyFont="1" applyBorder="1"/>
    <xf numFmtId="164" fontId="56" fillId="0" borderId="46" xfId="2" applyNumberFormat="1" applyFont="1" applyFill="1" applyBorder="1"/>
    <xf numFmtId="1" fontId="59" fillId="0" borderId="23" xfId="0" applyNumberFormat="1" applyFont="1" applyFill="1" applyBorder="1" applyAlignment="1">
      <alignment horizontal="center"/>
    </xf>
    <xf numFmtId="3" fontId="57" fillId="0" borderId="23" xfId="1" applyNumberFormat="1" applyFont="1" applyFill="1" applyBorder="1" applyAlignment="1">
      <alignment horizontal="right"/>
    </xf>
    <xf numFmtId="3" fontId="57" fillId="0" borderId="23" xfId="1" applyNumberFormat="1" applyFont="1" applyFill="1" applyBorder="1" applyAlignment="1"/>
    <xf numFmtId="0" fontId="10" fillId="0" borderId="3" xfId="0" applyFont="1" applyFill="1" applyBorder="1"/>
    <xf numFmtId="0" fontId="56" fillId="0" borderId="0" xfId="0" applyFont="1" applyBorder="1" applyAlignment="1"/>
    <xf numFmtId="0" fontId="56" fillId="0" borderId="17" xfId="0" applyFont="1" applyBorder="1"/>
    <xf numFmtId="165" fontId="56" fillId="0" borderId="0" xfId="1" applyNumberFormat="1" applyFont="1" applyFill="1" applyBorder="1"/>
    <xf numFmtId="165" fontId="56" fillId="0" borderId="0" xfId="1" applyNumberFormat="1" applyFont="1" applyBorder="1"/>
    <xf numFmtId="0" fontId="59" fillId="0" borderId="32" xfId="0" applyFont="1" applyBorder="1" applyAlignment="1">
      <alignment horizontal="right"/>
    </xf>
    <xf numFmtId="0" fontId="58" fillId="0" borderId="17" xfId="0" applyFont="1" applyBorder="1"/>
    <xf numFmtId="1" fontId="59" fillId="0" borderId="17" xfId="0" applyNumberFormat="1" applyFont="1" applyFill="1" applyBorder="1" applyAlignment="1">
      <alignment horizontal="center"/>
    </xf>
    <xf numFmtId="37" fontId="56" fillId="0" borderId="17" xfId="1" applyNumberFormat="1" applyFont="1" applyFill="1" applyBorder="1" applyAlignment="1">
      <alignment horizontal="right"/>
    </xf>
    <xf numFmtId="3" fontId="56" fillId="0" borderId="17" xfId="1" applyNumberFormat="1" applyFont="1" applyFill="1" applyBorder="1" applyAlignment="1">
      <alignment horizontal="right"/>
    </xf>
    <xf numFmtId="3" fontId="56" fillId="0" borderId="17" xfId="1" applyNumberFormat="1" applyFont="1" applyFill="1" applyBorder="1" applyAlignment="1"/>
    <xf numFmtId="3" fontId="56" fillId="13" borderId="26" xfId="1" applyNumberFormat="1" applyFont="1" applyFill="1" applyBorder="1" applyAlignment="1"/>
    <xf numFmtId="0" fontId="56" fillId="0" borderId="0" xfId="0" applyFont="1" applyBorder="1" applyAlignment="1">
      <alignment wrapText="1"/>
    </xf>
    <xf numFmtId="165" fontId="58" fillId="0" borderId="17" xfId="0" applyNumberFormat="1" applyFont="1" applyBorder="1"/>
    <xf numFmtId="37" fontId="56" fillId="23" borderId="17" xfId="1" applyNumberFormat="1" applyFont="1" applyFill="1" applyBorder="1" applyAlignment="1">
      <alignment horizontal="right"/>
    </xf>
    <xf numFmtId="0" fontId="57" fillId="0" borderId="0" xfId="0" applyFont="1" applyBorder="1" applyAlignment="1"/>
    <xf numFmtId="165" fontId="57" fillId="0" borderId="0" xfId="0" applyNumberFormat="1" applyFont="1" applyBorder="1"/>
    <xf numFmtId="0" fontId="58" fillId="4" borderId="32" xfId="0" applyFont="1" applyFill="1" applyBorder="1"/>
    <xf numFmtId="165" fontId="56" fillId="4" borderId="17" xfId="1" applyNumberFormat="1" applyFont="1" applyFill="1" applyBorder="1"/>
    <xf numFmtId="1" fontId="59" fillId="4" borderId="17" xfId="0" applyNumberFormat="1" applyFont="1" applyFill="1" applyBorder="1" applyAlignment="1">
      <alignment horizontal="center"/>
    </xf>
    <xf numFmtId="37" fontId="56" fillId="4" borderId="17" xfId="1" applyNumberFormat="1" applyFont="1" applyFill="1" applyBorder="1" applyAlignment="1">
      <alignment horizontal="right"/>
    </xf>
    <xf numFmtId="3" fontId="56" fillId="4" borderId="17" xfId="1" applyNumberFormat="1" applyFont="1" applyFill="1" applyBorder="1" applyAlignment="1">
      <alignment horizontal="right"/>
    </xf>
    <xf numFmtId="0" fontId="59" fillId="0" borderId="0" xfId="0" applyFont="1" applyFill="1" applyBorder="1" applyAlignment="1">
      <alignment wrapText="1"/>
    </xf>
    <xf numFmtId="0" fontId="58" fillId="0" borderId="32" xfId="0" applyFont="1" applyBorder="1"/>
    <xf numFmtId="165" fontId="56" fillId="0" borderId="17" xfId="1" applyNumberFormat="1" applyFont="1" applyFill="1" applyBorder="1"/>
    <xf numFmtId="0" fontId="58" fillId="24" borderId="32" xfId="0" applyFont="1" applyFill="1" applyBorder="1"/>
    <xf numFmtId="165" fontId="56" fillId="24" borderId="17" xfId="1" applyNumberFormat="1" applyFont="1" applyFill="1" applyBorder="1"/>
    <xf numFmtId="1" fontId="59" fillId="24" borderId="17" xfId="0" applyNumberFormat="1" applyFont="1" applyFill="1" applyBorder="1" applyAlignment="1">
      <alignment horizontal="center"/>
    </xf>
    <xf numFmtId="37" fontId="56" fillId="24" borderId="17" xfId="1" applyNumberFormat="1" applyFont="1" applyFill="1" applyBorder="1" applyAlignment="1">
      <alignment horizontal="right"/>
    </xf>
    <xf numFmtId="3" fontId="56" fillId="24" borderId="17" xfId="1" applyNumberFormat="1" applyFont="1" applyFill="1" applyBorder="1" applyAlignment="1">
      <alignment horizontal="right"/>
    </xf>
    <xf numFmtId="3" fontId="56" fillId="24" borderId="17" xfId="1" applyNumberFormat="1" applyFont="1" applyFill="1" applyBorder="1" applyAlignment="1"/>
    <xf numFmtId="3" fontId="56" fillId="24" borderId="26" xfId="1" applyNumberFormat="1" applyFont="1" applyFill="1" applyBorder="1" applyAlignment="1"/>
    <xf numFmtId="0" fontId="57" fillId="0" borderId="2" xfId="0" applyFont="1" applyBorder="1" applyAlignment="1"/>
    <xf numFmtId="0" fontId="57" fillId="0" borderId="3" xfId="0" applyFont="1" applyBorder="1" applyAlignment="1"/>
    <xf numFmtId="165" fontId="57" fillId="24" borderId="17" xfId="1" applyNumberFormat="1" applyFont="1" applyFill="1" applyBorder="1"/>
    <xf numFmtId="165" fontId="0" fillId="0" borderId="6" xfId="0" applyNumberFormat="1" applyBorder="1"/>
    <xf numFmtId="165" fontId="0" fillId="0" borderId="7" xfId="0" applyNumberFormat="1" applyBorder="1"/>
    <xf numFmtId="165" fontId="2" fillId="0" borderId="7" xfId="0" applyNumberFormat="1" applyFont="1" applyBorder="1"/>
    <xf numFmtId="0" fontId="57" fillId="0" borderId="8" xfId="0" applyFont="1" applyBorder="1" applyAlignment="1"/>
    <xf numFmtId="0" fontId="58" fillId="0" borderId="33" xfId="0" applyFont="1" applyBorder="1"/>
    <xf numFmtId="165" fontId="56" fillId="0" borderId="20" xfId="1" applyNumberFormat="1" applyFont="1" applyFill="1" applyBorder="1"/>
    <xf numFmtId="1" fontId="59" fillId="0" borderId="20" xfId="0" applyNumberFormat="1" applyFont="1" applyFill="1" applyBorder="1" applyAlignment="1">
      <alignment horizontal="center"/>
    </xf>
    <xf numFmtId="37" fontId="56" fillId="0" borderId="20" xfId="1" applyNumberFormat="1" applyFont="1" applyFill="1" applyBorder="1" applyAlignment="1">
      <alignment horizontal="right"/>
    </xf>
    <xf numFmtId="3" fontId="56" fillId="0" borderId="20" xfId="1" applyNumberFormat="1" applyFont="1" applyFill="1" applyBorder="1" applyAlignment="1">
      <alignment horizontal="right"/>
    </xf>
    <xf numFmtId="3" fontId="56" fillId="0" borderId="20" xfId="1" applyNumberFormat="1" applyFont="1" applyFill="1" applyBorder="1" applyAlignment="1"/>
    <xf numFmtId="0" fontId="58" fillId="0" borderId="47" xfId="0" applyFont="1" applyBorder="1" applyAlignment="1">
      <alignment horizontal="right"/>
    </xf>
    <xf numFmtId="165" fontId="57" fillId="19" borderId="48" xfId="1" applyNumberFormat="1" applyFont="1" applyFill="1" applyBorder="1"/>
    <xf numFmtId="3" fontId="57" fillId="19" borderId="51" xfId="1" applyNumberFormat="1" applyFont="1" applyFill="1" applyBorder="1" applyAlignment="1"/>
    <xf numFmtId="0" fontId="60" fillId="0" borderId="0" xfId="0" applyFont="1" applyBorder="1"/>
    <xf numFmtId="0" fontId="60" fillId="0" borderId="0" xfId="0" applyFont="1" applyFill="1" applyBorder="1"/>
    <xf numFmtId="0" fontId="56" fillId="0" borderId="0" xfId="0" applyFont="1" applyFill="1" applyBorder="1"/>
    <xf numFmtId="0" fontId="10" fillId="0" borderId="0" xfId="0" applyFont="1" applyFill="1" applyBorder="1"/>
    <xf numFmtId="0" fontId="10" fillId="0" borderId="0" xfId="0" applyFont="1" applyBorder="1"/>
    <xf numFmtId="0" fontId="57" fillId="0" borderId="13" xfId="0" applyFont="1" applyBorder="1" applyAlignment="1">
      <alignment wrapText="1"/>
    </xf>
    <xf numFmtId="0" fontId="57" fillId="0" borderId="15" xfId="0" applyFont="1" applyBorder="1" applyAlignment="1">
      <alignment wrapText="1"/>
    </xf>
    <xf numFmtId="0" fontId="56" fillId="0" borderId="50" xfId="0" applyFont="1" applyBorder="1" applyAlignment="1">
      <alignment wrapText="1"/>
    </xf>
    <xf numFmtId="0" fontId="57" fillId="0" borderId="48" xfId="0" applyFont="1" applyBorder="1" applyAlignment="1">
      <alignment horizontal="center"/>
    </xf>
    <xf numFmtId="0" fontId="57" fillId="0" borderId="51" xfId="0" applyFont="1" applyBorder="1" applyAlignment="1">
      <alignment horizontal="center"/>
    </xf>
    <xf numFmtId="0" fontId="56" fillId="0" borderId="52" xfId="0" applyFont="1" applyBorder="1" applyAlignment="1">
      <alignment wrapText="1"/>
    </xf>
    <xf numFmtId="0" fontId="56" fillId="0" borderId="53" xfId="0" applyFont="1" applyBorder="1" applyAlignment="1">
      <alignment wrapText="1"/>
    </xf>
    <xf numFmtId="0" fontId="56" fillId="0" borderId="54" xfId="0" applyFont="1" applyBorder="1" applyAlignment="1">
      <alignment wrapText="1"/>
    </xf>
    <xf numFmtId="9" fontId="56" fillId="0" borderId="55" xfId="3" applyNumberFormat="1" applyFont="1" applyFill="1" applyBorder="1" applyAlignment="1">
      <alignment horizontal="center"/>
    </xf>
    <xf numFmtId="9" fontId="56" fillId="0" borderId="55" xfId="3" applyNumberFormat="1" applyFont="1" applyBorder="1" applyAlignment="1">
      <alignment horizontal="center"/>
    </xf>
    <xf numFmtId="9" fontId="56" fillId="0" borderId="56" xfId="3" applyNumberFormat="1" applyFont="1" applyBorder="1" applyAlignment="1">
      <alignment horizontal="center"/>
    </xf>
    <xf numFmtId="0" fontId="56" fillId="0" borderId="57" xfId="0" applyFont="1" applyBorder="1" applyAlignment="1">
      <alignment wrapText="1"/>
    </xf>
    <xf numFmtId="0" fontId="56" fillId="0" borderId="58" xfId="0" applyFont="1" applyBorder="1" applyAlignment="1">
      <alignment wrapText="1"/>
    </xf>
    <xf numFmtId="0" fontId="56" fillId="0" borderId="19" xfId="0" applyFont="1" applyBorder="1" applyAlignment="1">
      <alignment wrapText="1"/>
    </xf>
    <xf numFmtId="9" fontId="56" fillId="0" borderId="17" xfId="3" applyNumberFormat="1" applyFont="1" applyFill="1" applyBorder="1" applyAlignment="1">
      <alignment horizontal="center"/>
    </xf>
    <xf numFmtId="9" fontId="56" fillId="0" borderId="17" xfId="3" applyNumberFormat="1" applyFont="1" applyBorder="1" applyAlignment="1">
      <alignment horizontal="center"/>
    </xf>
    <xf numFmtId="9" fontId="56" fillId="0" borderId="20" xfId="3" applyNumberFormat="1" applyFont="1" applyFill="1" applyBorder="1" applyAlignment="1">
      <alignment horizontal="center"/>
    </xf>
    <xf numFmtId="9" fontId="56" fillId="0" borderId="20" xfId="3" applyNumberFormat="1" applyFont="1" applyBorder="1" applyAlignment="1">
      <alignment horizontal="center"/>
    </xf>
    <xf numFmtId="0" fontId="56" fillId="0" borderId="59" xfId="0" applyFont="1" applyBorder="1" applyAlignment="1">
      <alignment wrapText="1"/>
    </xf>
    <xf numFmtId="0" fontId="56" fillId="0" borderId="9" xfId="0" applyFont="1" applyBorder="1" applyAlignment="1">
      <alignment wrapText="1"/>
    </xf>
    <xf numFmtId="0" fontId="56" fillId="0" borderId="60" xfId="0" applyFont="1" applyBorder="1" applyAlignment="1">
      <alignment wrapText="1"/>
    </xf>
    <xf numFmtId="9" fontId="56" fillId="0" borderId="38" xfId="3" applyNumberFormat="1" applyFont="1" applyFill="1" applyBorder="1" applyAlignment="1">
      <alignment horizontal="center"/>
    </xf>
    <xf numFmtId="9" fontId="56" fillId="0" borderId="38" xfId="3" applyNumberFormat="1" applyFont="1" applyBorder="1" applyAlignment="1">
      <alignment horizontal="center"/>
    </xf>
    <xf numFmtId="9" fontId="56" fillId="0" borderId="0" xfId="3" applyNumberFormat="1" applyFont="1" applyFill="1" applyBorder="1" applyAlignment="1">
      <alignment horizontal="center"/>
    </xf>
    <xf numFmtId="9" fontId="56" fillId="0" borderId="0" xfId="3" applyNumberFormat="1" applyFont="1" applyBorder="1" applyAlignment="1">
      <alignment horizontal="center"/>
    </xf>
    <xf numFmtId="0" fontId="57" fillId="0" borderId="47" xfId="0" applyFont="1" applyBorder="1" applyAlignment="1">
      <alignment wrapText="1"/>
    </xf>
    <xf numFmtId="0" fontId="57" fillId="0" borderId="50" xfId="0" applyFont="1" applyBorder="1" applyAlignment="1">
      <alignment wrapText="1"/>
    </xf>
    <xf numFmtId="0" fontId="57" fillId="15" borderId="48" xfId="0" applyFont="1" applyFill="1" applyBorder="1" applyAlignment="1">
      <alignment horizontal="center"/>
    </xf>
    <xf numFmtId="0" fontId="56" fillId="0" borderId="61" xfId="0" applyFont="1" applyBorder="1" applyAlignment="1">
      <alignment wrapText="1"/>
    </xf>
    <xf numFmtId="0" fontId="56" fillId="0" borderId="62" xfId="0" applyFont="1" applyBorder="1" applyAlignment="1">
      <alignment wrapText="1"/>
    </xf>
    <xf numFmtId="164" fontId="56" fillId="13" borderId="55" xfId="2" applyNumberFormat="1" applyFont="1" applyFill="1" applyBorder="1"/>
    <xf numFmtId="165" fontId="56" fillId="0" borderId="55" xfId="1" applyNumberFormat="1" applyFont="1" applyBorder="1"/>
    <xf numFmtId="1" fontId="56" fillId="0" borderId="55" xfId="2" applyNumberFormat="1" applyFont="1" applyBorder="1"/>
    <xf numFmtId="165" fontId="56" fillId="15" borderId="55" xfId="1" applyNumberFormat="1" applyFont="1" applyFill="1" applyBorder="1"/>
    <xf numFmtId="1" fontId="56" fillId="15" borderId="55" xfId="2" applyNumberFormat="1" applyFont="1" applyFill="1" applyBorder="1"/>
    <xf numFmtId="165" fontId="56" fillId="0" borderId="56" xfId="2" applyNumberFormat="1" applyFont="1" applyBorder="1"/>
    <xf numFmtId="0" fontId="56" fillId="0" borderId="32" xfId="0" applyFont="1" applyBorder="1" applyAlignment="1">
      <alignment wrapText="1"/>
    </xf>
    <xf numFmtId="165" fontId="56" fillId="17" borderId="17" xfId="1" applyNumberFormat="1" applyFont="1" applyFill="1" applyBorder="1"/>
    <xf numFmtId="165" fontId="56" fillId="0" borderId="17" xfId="1" applyNumberFormat="1" applyFont="1" applyBorder="1"/>
    <xf numFmtId="165" fontId="56" fillId="15" borderId="17" xfId="1" applyNumberFormat="1" applyFont="1" applyFill="1" applyBorder="1"/>
    <xf numFmtId="165" fontId="56" fillId="25" borderId="17" xfId="1" applyNumberFormat="1" applyFont="1" applyFill="1" applyBorder="1"/>
    <xf numFmtId="0" fontId="10" fillId="0" borderId="17" xfId="0" applyFont="1" applyBorder="1"/>
    <xf numFmtId="0" fontId="10" fillId="5" borderId="17" xfId="0" applyFont="1" applyFill="1" applyBorder="1"/>
    <xf numFmtId="165" fontId="56" fillId="5" borderId="17" xfId="1" applyNumberFormat="1" applyFont="1" applyFill="1" applyBorder="1"/>
    <xf numFmtId="0" fontId="56" fillId="0" borderId="33" xfId="0" applyFont="1" applyBorder="1" applyAlignment="1">
      <alignment wrapText="1"/>
    </xf>
    <xf numFmtId="0" fontId="56" fillId="0" borderId="27" xfId="0" applyFont="1" applyBorder="1" applyAlignment="1">
      <alignment wrapText="1"/>
    </xf>
    <xf numFmtId="165" fontId="56" fillId="0" borderId="20" xfId="1" applyNumberFormat="1" applyFont="1" applyBorder="1"/>
    <xf numFmtId="165" fontId="56" fillId="5" borderId="20" xfId="1" applyNumberFormat="1" applyFont="1" applyFill="1" applyBorder="1"/>
    <xf numFmtId="164" fontId="57" fillId="19" borderId="48" xfId="2" applyNumberFormat="1" applyFont="1" applyFill="1" applyBorder="1"/>
    <xf numFmtId="5" fontId="57" fillId="26" borderId="48" xfId="2" applyNumberFormat="1" applyFont="1" applyFill="1" applyBorder="1"/>
    <xf numFmtId="5" fontId="57" fillId="19" borderId="51" xfId="2" applyNumberFormat="1" applyFont="1" applyFill="1" applyBorder="1"/>
    <xf numFmtId="0" fontId="57" fillId="0" borderId="0" xfId="0" applyFont="1" applyBorder="1" applyAlignment="1">
      <alignment wrapText="1"/>
    </xf>
    <xf numFmtId="164" fontId="57" fillId="0" borderId="0" xfId="2" applyNumberFormat="1" applyFont="1" applyFill="1" applyBorder="1"/>
    <xf numFmtId="5" fontId="57" fillId="0" borderId="0" xfId="2" applyNumberFormat="1" applyFont="1" applyFill="1" applyBorder="1"/>
    <xf numFmtId="0" fontId="57" fillId="0" borderId="1" xfId="0" applyFont="1" applyFill="1" applyBorder="1" applyAlignment="1">
      <alignment horizontal="left" wrapText="1"/>
    </xf>
    <xf numFmtId="165" fontId="0" fillId="0" borderId="0" xfId="0" applyNumberFormat="1" applyBorder="1"/>
    <xf numFmtId="165" fontId="0" fillId="0" borderId="5" xfId="0" applyNumberFormat="1" applyBorder="1"/>
    <xf numFmtId="0" fontId="3" fillId="0" borderId="0" xfId="0" applyFont="1" applyAlignment="1">
      <alignment horizontal="center"/>
    </xf>
    <xf numFmtId="0" fontId="3" fillId="0" borderId="31" xfId="0" applyFont="1" applyBorder="1" applyAlignment="1">
      <alignment horizontal="center"/>
    </xf>
    <xf numFmtId="164" fontId="3" fillId="0" borderId="0" xfId="2" applyNumberFormat="1" applyFont="1"/>
    <xf numFmtId="165" fontId="3" fillId="0" borderId="0" xfId="1" applyNumberFormat="1" applyFont="1"/>
    <xf numFmtId="0" fontId="3" fillId="11" borderId="0" xfId="0" applyFont="1" applyFill="1"/>
    <xf numFmtId="165" fontId="42" fillId="11" borderId="0" xfId="1" applyNumberFormat="1" applyFont="1" applyFill="1"/>
    <xf numFmtId="164" fontId="42" fillId="11" borderId="63" xfId="0" applyNumberFormat="1" applyFont="1" applyFill="1" applyBorder="1"/>
    <xf numFmtId="0" fontId="26" fillId="0" borderId="0" xfId="0" applyFont="1"/>
    <xf numFmtId="165" fontId="26" fillId="0" borderId="0" xfId="1" applyNumberFormat="1" applyFont="1"/>
    <xf numFmtId="0" fontId="3" fillId="0" borderId="0" xfId="0" applyFont="1" applyAlignment="1">
      <alignment horizontal="right"/>
    </xf>
    <xf numFmtId="0" fontId="42" fillId="0" borderId="31" xfId="0" applyFont="1" applyBorder="1" applyAlignment="1">
      <alignment horizontal="center"/>
    </xf>
    <xf numFmtId="0" fontId="3" fillId="0" borderId="0" xfId="0" applyFont="1" applyFill="1"/>
    <xf numFmtId="164" fontId="13" fillId="0" borderId="0" xfId="0" applyNumberFormat="1" applyFont="1"/>
    <xf numFmtId="165" fontId="13" fillId="0" borderId="0" xfId="0" applyNumberFormat="1" applyFont="1"/>
    <xf numFmtId="44" fontId="13" fillId="0" borderId="0" xfId="2" applyFont="1"/>
    <xf numFmtId="164" fontId="3" fillId="0" borderId="0" xfId="0" applyNumberFormat="1" applyFont="1"/>
    <xf numFmtId="165" fontId="3" fillId="0" borderId="0" xfId="0" applyNumberFormat="1" applyFont="1"/>
    <xf numFmtId="44" fontId="3" fillId="0" borderId="0" xfId="2" applyFont="1"/>
    <xf numFmtId="164" fontId="3" fillId="0" borderId="31" xfId="0" applyNumberFormat="1" applyFont="1" applyBorder="1" applyAlignment="1">
      <alignment horizontal="center"/>
    </xf>
    <xf numFmtId="165" fontId="3" fillId="0" borderId="31" xfId="0" applyNumberFormat="1" applyFont="1" applyBorder="1" applyAlignment="1">
      <alignment horizontal="center"/>
    </xf>
    <xf numFmtId="44" fontId="3" fillId="0" borderId="31" xfId="2" applyFont="1" applyBorder="1"/>
    <xf numFmtId="44" fontId="13" fillId="0" borderId="0" xfId="0" applyNumberFormat="1" applyFont="1"/>
    <xf numFmtId="44" fontId="13" fillId="18" borderId="0" xfId="2" applyFont="1" applyFill="1"/>
    <xf numFmtId="44" fontId="13" fillId="0" borderId="16" xfId="2" applyFont="1" applyBorder="1"/>
    <xf numFmtId="0" fontId="13" fillId="0" borderId="0" xfId="0" applyFont="1" applyAlignment="1">
      <alignment horizontal="center"/>
    </xf>
    <xf numFmtId="44" fontId="13" fillId="18" borderId="16" xfId="0" applyNumberFormat="1" applyFont="1" applyFill="1" applyBorder="1"/>
    <xf numFmtId="0" fontId="13" fillId="0" borderId="16" xfId="0" applyFont="1" applyBorder="1" applyAlignment="1">
      <alignment horizontal="center"/>
    </xf>
    <xf numFmtId="0" fontId="62" fillId="0" borderId="31" xfId="0" applyFont="1" applyBorder="1"/>
    <xf numFmtId="0" fontId="3" fillId="0" borderId="31" xfId="0" applyFont="1" applyBorder="1"/>
    <xf numFmtId="0" fontId="42" fillId="18" borderId="0" xfId="0" applyFont="1" applyFill="1"/>
    <xf numFmtId="0" fontId="3" fillId="9" borderId="0" xfId="0" applyFont="1" applyFill="1"/>
    <xf numFmtId="164" fontId="13" fillId="0" borderId="0" xfId="2" applyNumberFormat="1" applyFont="1"/>
    <xf numFmtId="0" fontId="3" fillId="0" borderId="31" xfId="0" applyFont="1" applyFill="1" applyBorder="1" applyAlignment="1">
      <alignment horizontal="center"/>
    </xf>
    <xf numFmtId="0" fontId="3" fillId="0" borderId="0" xfId="0" applyFont="1" applyFill="1" applyBorder="1" applyAlignment="1">
      <alignment horizontal="center"/>
    </xf>
    <xf numFmtId="9" fontId="13" fillId="0" borderId="0" xfId="0" applyNumberFormat="1" applyFont="1" applyBorder="1"/>
    <xf numFmtId="1" fontId="13" fillId="0" borderId="0" xfId="3" applyNumberFormat="1" applyFont="1" applyBorder="1"/>
    <xf numFmtId="164" fontId="13" fillId="0" borderId="0" xfId="0" applyNumberFormat="1" applyFont="1" applyBorder="1"/>
    <xf numFmtId="0" fontId="3" fillId="0" borderId="0" xfId="0" applyFont="1" applyBorder="1"/>
    <xf numFmtId="170" fontId="3" fillId="0" borderId="0" xfId="3" applyNumberFormat="1" applyFont="1"/>
    <xf numFmtId="0" fontId="13" fillId="0" borderId="0" xfId="0" applyFont="1" applyBorder="1"/>
    <xf numFmtId="165" fontId="13" fillId="0" borderId="0" xfId="1" applyNumberFormat="1" applyFont="1" applyBorder="1"/>
    <xf numFmtId="164" fontId="13" fillId="0" borderId="0" xfId="2" applyNumberFormat="1" applyFont="1" applyBorder="1"/>
    <xf numFmtId="164" fontId="3" fillId="0" borderId="63" xfId="0" applyNumberFormat="1" applyFont="1" applyBorder="1"/>
    <xf numFmtId="164" fontId="3" fillId="13" borderId="63" xfId="0" applyNumberFormat="1" applyFont="1" applyFill="1" applyBorder="1"/>
    <xf numFmtId="164" fontId="3" fillId="0" borderId="11" xfId="0" applyNumberFormat="1" applyFont="1" applyBorder="1"/>
    <xf numFmtId="170" fontId="3" fillId="0" borderId="11" xfId="0" applyNumberFormat="1" applyFont="1" applyBorder="1"/>
    <xf numFmtId="170" fontId="3" fillId="0" borderId="0" xfId="0" applyNumberFormat="1" applyFont="1" applyBorder="1"/>
    <xf numFmtId="165" fontId="13" fillId="0" borderId="0" xfId="0" applyNumberFormat="1" applyFont="1" applyFill="1" applyBorder="1"/>
    <xf numFmtId="0" fontId="13" fillId="0" borderId="0" xfId="0" applyFont="1" applyAlignment="1">
      <alignment horizontal="left"/>
    </xf>
    <xf numFmtId="164" fontId="13" fillId="0" borderId="0" xfId="0" applyNumberFormat="1" applyFont="1" applyFill="1" applyBorder="1"/>
    <xf numFmtId="164" fontId="3" fillId="0" borderId="0" xfId="0" applyNumberFormat="1" applyFont="1" applyBorder="1"/>
    <xf numFmtId="0" fontId="3" fillId="0" borderId="0" xfId="0" applyFont="1" applyBorder="1" applyAlignment="1">
      <alignment horizontal="center"/>
    </xf>
    <xf numFmtId="0" fontId="3" fillId="0" borderId="0" xfId="0" applyFont="1" applyFill="1" applyAlignment="1">
      <alignment horizontal="left"/>
    </xf>
    <xf numFmtId="165" fontId="13" fillId="0" borderId="0" xfId="1" applyNumberFormat="1" applyFont="1" applyFill="1" applyBorder="1"/>
    <xf numFmtId="167" fontId="13" fillId="0" borderId="0" xfId="0" applyNumberFormat="1" applyFont="1" applyFill="1" applyBorder="1"/>
    <xf numFmtId="9" fontId="13" fillId="0" borderId="0" xfId="0" applyNumberFormat="1" applyFont="1" applyFill="1" applyBorder="1"/>
    <xf numFmtId="167" fontId="13" fillId="5" borderId="0" xfId="0" applyNumberFormat="1" applyFont="1" applyFill="1" applyBorder="1"/>
    <xf numFmtId="170" fontId="13" fillId="0" borderId="0" xfId="3" applyNumberFormat="1" applyFont="1" applyFill="1" applyBorder="1"/>
    <xf numFmtId="170" fontId="13" fillId="0" borderId="0" xfId="3" applyNumberFormat="1" applyFont="1" applyBorder="1"/>
    <xf numFmtId="43" fontId="13" fillId="0" borderId="0" xfId="1" applyFont="1" applyBorder="1"/>
    <xf numFmtId="171" fontId="13" fillId="0" borderId="0" xfId="0" applyNumberFormat="1" applyFont="1" applyFill="1" applyBorder="1"/>
    <xf numFmtId="0" fontId="13" fillId="0" borderId="0" xfId="0" applyFont="1" applyFill="1" applyBorder="1"/>
    <xf numFmtId="167" fontId="13" fillId="27" borderId="0" xfId="0" applyNumberFormat="1" applyFont="1" applyFill="1" applyBorder="1"/>
    <xf numFmtId="9" fontId="13" fillId="0" borderId="0" xfId="3" applyFont="1" applyFill="1" applyBorder="1"/>
    <xf numFmtId="0" fontId="3" fillId="0" borderId="0" xfId="0" applyFont="1" applyFill="1" applyAlignment="1">
      <alignment horizontal="center"/>
    </xf>
    <xf numFmtId="165" fontId="13" fillId="0" borderId="11" xfId="0" applyNumberFormat="1" applyFont="1" applyFill="1" applyBorder="1"/>
    <xf numFmtId="167" fontId="13" fillId="17" borderId="0" xfId="0" applyNumberFormat="1" applyFont="1" applyFill="1" applyBorder="1"/>
    <xf numFmtId="170" fontId="13" fillId="0" borderId="0" xfId="0" applyNumberFormat="1" applyFont="1" applyFill="1" applyBorder="1"/>
    <xf numFmtId="170" fontId="13" fillId="0" borderId="0" xfId="0" applyNumberFormat="1" applyFont="1" applyBorder="1"/>
    <xf numFmtId="165" fontId="3" fillId="0" borderId="0" xfId="0" applyNumberFormat="1" applyFont="1" applyFill="1" applyBorder="1"/>
    <xf numFmtId="0" fontId="3" fillId="0" borderId="0" xfId="0" applyFont="1" applyFill="1" applyBorder="1"/>
    <xf numFmtId="9" fontId="3" fillId="0" borderId="0" xfId="0" applyNumberFormat="1" applyFont="1" applyFill="1" applyBorder="1"/>
    <xf numFmtId="167" fontId="3" fillId="27" borderId="0" xfId="0" applyNumberFormat="1" applyFont="1" applyFill="1" applyBorder="1"/>
    <xf numFmtId="167" fontId="3" fillId="17" borderId="0" xfId="0" applyNumberFormat="1" applyFont="1" applyFill="1" applyBorder="1"/>
    <xf numFmtId="9" fontId="3" fillId="0" borderId="0" xfId="0" applyNumberFormat="1" applyFont="1" applyFill="1"/>
    <xf numFmtId="167" fontId="3" fillId="0" borderId="0" xfId="0" applyNumberFormat="1" applyFont="1" applyFill="1"/>
    <xf numFmtId="167" fontId="13" fillId="0" borderId="11" xfId="0" applyNumberFormat="1" applyFont="1" applyFill="1" applyBorder="1"/>
    <xf numFmtId="43" fontId="3" fillId="0" borderId="0" xfId="0" applyNumberFormat="1" applyFont="1" applyFill="1" applyAlignment="1">
      <alignment horizontal="left"/>
    </xf>
    <xf numFmtId="164" fontId="3" fillId="0" borderId="0" xfId="0" applyNumberFormat="1" applyFont="1" applyFill="1"/>
    <xf numFmtId="10" fontId="3" fillId="0" borderId="0" xfId="3" applyNumberFormat="1" applyFont="1" applyFill="1"/>
    <xf numFmtId="2" fontId="3" fillId="0" borderId="0" xfId="0" applyNumberFormat="1" applyFont="1" applyFill="1"/>
    <xf numFmtId="0" fontId="3" fillId="18" borderId="0" xfId="0" applyFont="1" applyFill="1"/>
    <xf numFmtId="0" fontId="17" fillId="18" borderId="0" xfId="0" quotePrefix="1" applyFont="1" applyFill="1"/>
    <xf numFmtId="0" fontId="2" fillId="13" borderId="0" xfId="0" applyFont="1" applyFill="1"/>
    <xf numFmtId="0" fontId="63" fillId="0" borderId="0" xfId="0" applyFont="1"/>
    <xf numFmtId="44" fontId="63" fillId="0" borderId="0" xfId="2" applyFont="1"/>
    <xf numFmtId="9" fontId="63" fillId="0" borderId="0" xfId="3" applyFont="1" applyAlignment="1">
      <alignment horizontal="center"/>
    </xf>
    <xf numFmtId="44" fontId="64" fillId="0" borderId="53" xfId="2" applyFont="1" applyBorder="1" applyAlignment="1">
      <alignment horizontal="center"/>
    </xf>
    <xf numFmtId="9" fontId="64" fillId="0" borderId="53" xfId="3" applyFont="1" applyBorder="1" applyAlignment="1">
      <alignment horizontal="center"/>
    </xf>
    <xf numFmtId="0" fontId="65" fillId="18" borderId="53" xfId="0" applyFont="1" applyFill="1" applyBorder="1" applyAlignment="1">
      <alignment horizontal="center"/>
    </xf>
    <xf numFmtId="0" fontId="63" fillId="0" borderId="4" xfId="0" applyFont="1" applyBorder="1"/>
    <xf numFmtId="44" fontId="63" fillId="0" borderId="0" xfId="2" applyFont="1" applyBorder="1"/>
    <xf numFmtId="9" fontId="63" fillId="0" borderId="0" xfId="3" applyFont="1" applyBorder="1" applyAlignment="1">
      <alignment horizontal="center"/>
    </xf>
    <xf numFmtId="0" fontId="63" fillId="0" borderId="0" xfId="0" applyFont="1" applyBorder="1"/>
    <xf numFmtId="0" fontId="0" fillId="0" borderId="0" xfId="0" quotePrefix="1" applyBorder="1"/>
    <xf numFmtId="0" fontId="64" fillId="0" borderId="4" xfId="0" applyFont="1" applyBorder="1"/>
    <xf numFmtId="9" fontId="64" fillId="0" borderId="0" xfId="3" applyFont="1" applyBorder="1" applyAlignment="1">
      <alignment horizontal="center"/>
    </xf>
    <xf numFmtId="44" fontId="64" fillId="0" borderId="0" xfId="2" applyFont="1" applyBorder="1"/>
    <xf numFmtId="0" fontId="64" fillId="0" borderId="0" xfId="0" applyFont="1" applyBorder="1"/>
    <xf numFmtId="164" fontId="64" fillId="0" borderId="0" xfId="2" applyNumberFormat="1" applyFont="1" applyBorder="1"/>
    <xf numFmtId="3" fontId="64" fillId="0" borderId="0" xfId="0" applyNumberFormat="1" applyFont="1" applyBorder="1"/>
    <xf numFmtId="44" fontId="64" fillId="11" borderId="0" xfId="2" applyFont="1" applyFill="1" applyBorder="1"/>
    <xf numFmtId="0" fontId="65" fillId="0" borderId="6" xfId="0" applyFont="1" applyBorder="1"/>
    <xf numFmtId="44" fontId="65" fillId="0" borderId="9" xfId="2" applyFont="1" applyBorder="1"/>
    <xf numFmtId="0" fontId="0" fillId="0" borderId="7" xfId="0" quotePrefix="1" applyBorder="1"/>
    <xf numFmtId="0" fontId="0" fillId="0" borderId="0" xfId="0" applyFont="1" applyAlignment="1">
      <alignment vertical="center" wrapText="1"/>
    </xf>
    <xf numFmtId="0" fontId="0" fillId="0" borderId="0" xfId="0" applyFont="1" applyAlignment="1">
      <alignment horizontal="center" vertical="center" wrapText="1"/>
    </xf>
    <xf numFmtId="0" fontId="37" fillId="0" borderId="0" xfId="0" applyFont="1" applyAlignment="1">
      <alignment vertical="center"/>
    </xf>
    <xf numFmtId="0" fontId="2" fillId="11" borderId="42" xfId="0" applyFont="1" applyFill="1" applyBorder="1" applyAlignment="1">
      <alignment vertical="center" wrapText="1"/>
    </xf>
    <xf numFmtId="0" fontId="2" fillId="11" borderId="44" xfId="0" applyFont="1" applyFill="1" applyBorder="1" applyAlignment="1">
      <alignment vertical="center" wrapText="1"/>
    </xf>
    <xf numFmtId="0" fontId="2" fillId="0" borderId="45" xfId="0" applyFont="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Alignment="1">
      <alignment vertical="center" wrapText="1"/>
    </xf>
    <xf numFmtId="0" fontId="2" fillId="0" borderId="0" xfId="0" applyFont="1" applyFill="1" applyBorder="1" applyAlignment="1">
      <alignment horizontal="center" vertical="center" wrapText="1"/>
    </xf>
    <xf numFmtId="0" fontId="0" fillId="11" borderId="23" xfId="0" applyFont="1" applyFill="1" applyBorder="1" applyAlignment="1">
      <alignment horizontal="center" vertical="center" wrapText="1"/>
    </xf>
    <xf numFmtId="9" fontId="0" fillId="11" borderId="23" xfId="3" applyFont="1" applyFill="1" applyBorder="1" applyAlignment="1">
      <alignment horizontal="center" vertical="center" wrapText="1"/>
    </xf>
    <xf numFmtId="0" fontId="0" fillId="28" borderId="24" xfId="0" applyFont="1" applyFill="1" applyBorder="1" applyAlignment="1">
      <alignment horizontal="center" vertical="center" wrapText="1"/>
    </xf>
    <xf numFmtId="10" fontId="0" fillId="0" borderId="0" xfId="3" applyNumberFormat="1" applyFont="1" applyFill="1" applyBorder="1" applyAlignment="1">
      <alignment vertical="center" wrapText="1"/>
    </xf>
    <xf numFmtId="0" fontId="0" fillId="0" borderId="0" xfId="0" applyFont="1" applyFill="1" applyBorder="1" applyAlignment="1">
      <alignment vertical="center" wrapText="1"/>
    </xf>
    <xf numFmtId="0" fontId="0" fillId="11" borderId="38" xfId="0" applyFont="1" applyFill="1" applyBorder="1" applyAlignment="1">
      <alignment horizontal="center" vertical="center" wrapText="1"/>
    </xf>
    <xf numFmtId="9" fontId="0" fillId="11" borderId="38" xfId="3" applyFont="1" applyFill="1" applyBorder="1" applyAlignment="1">
      <alignment horizontal="center" vertical="center" wrapText="1"/>
    </xf>
    <xf numFmtId="0" fontId="0" fillId="29" borderId="37" xfId="0" applyFont="1" applyFill="1" applyBorder="1" applyAlignment="1">
      <alignment horizontal="center" vertical="center" wrapText="1"/>
    </xf>
    <xf numFmtId="0" fontId="0" fillId="11" borderId="64" xfId="0" applyFont="1" applyFill="1" applyBorder="1" applyAlignment="1">
      <alignment vertical="center" wrapText="1"/>
    </xf>
    <xf numFmtId="0" fontId="0" fillId="11" borderId="65" xfId="0" applyFont="1" applyFill="1" applyBorder="1" applyAlignment="1">
      <alignment horizontal="center" vertical="center" wrapText="1"/>
    </xf>
    <xf numFmtId="9" fontId="0" fillId="11" borderId="65" xfId="3" applyFont="1" applyFill="1" applyBorder="1" applyAlignment="1">
      <alignment horizontal="center" vertical="center" wrapText="1"/>
    </xf>
    <xf numFmtId="0" fontId="0" fillId="28" borderId="66" xfId="0" applyFont="1" applyFill="1" applyBorder="1" applyAlignment="1">
      <alignment horizontal="center" vertical="center" wrapText="1"/>
    </xf>
    <xf numFmtId="0" fontId="0" fillId="20" borderId="37" xfId="0" applyFont="1" applyFill="1" applyBorder="1" applyAlignment="1">
      <alignment horizontal="center" vertical="center" wrapText="1"/>
    </xf>
    <xf numFmtId="0" fontId="0" fillId="29" borderId="24" xfId="0" applyFont="1" applyFill="1" applyBorder="1" applyAlignment="1">
      <alignment horizontal="center" vertical="center" wrapText="1"/>
    </xf>
    <xf numFmtId="0" fontId="2" fillId="0" borderId="47" xfId="0" applyFont="1" applyBorder="1" applyAlignment="1">
      <alignment horizontal="right" vertical="center" wrapText="1"/>
    </xf>
    <xf numFmtId="0" fontId="2" fillId="0" borderId="51" xfId="0" applyFont="1" applyBorder="1" applyAlignment="1">
      <alignment horizontal="center" vertical="center" wrapText="1"/>
    </xf>
    <xf numFmtId="10" fontId="0" fillId="0" borderId="0" xfId="0" applyNumberFormat="1" applyFont="1" applyFill="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0" borderId="23" xfId="0" applyFont="1" applyBorder="1" applyAlignment="1">
      <alignment horizontal="center" vertical="center" wrapText="1"/>
    </xf>
    <xf numFmtId="0" fontId="2" fillId="0" borderId="24" xfId="0" applyFont="1" applyBorder="1" applyAlignment="1">
      <alignment vertical="center" wrapText="1"/>
    </xf>
    <xf numFmtId="0" fontId="0" fillId="0" borderId="32" xfId="0" applyFont="1" applyBorder="1" applyAlignment="1">
      <alignment vertical="center" wrapText="1"/>
    </xf>
    <xf numFmtId="44" fontId="0" fillId="0" borderId="17" xfId="0" applyNumberFormat="1" applyFont="1" applyBorder="1" applyAlignment="1">
      <alignment vertical="center" wrapText="1"/>
    </xf>
    <xf numFmtId="10" fontId="0" fillId="0" borderId="17" xfId="3" applyNumberFormat="1" applyFont="1" applyBorder="1" applyAlignment="1">
      <alignment vertical="center" wrapText="1"/>
    </xf>
    <xf numFmtId="10" fontId="0" fillId="29" borderId="17" xfId="0" applyNumberFormat="1" applyFont="1" applyFill="1" applyBorder="1" applyAlignment="1">
      <alignment vertical="center" wrapText="1"/>
    </xf>
    <xf numFmtId="43" fontId="0" fillId="0" borderId="17" xfId="1" applyFont="1" applyBorder="1" applyAlignment="1">
      <alignment horizontal="center" vertical="center" wrapText="1"/>
    </xf>
    <xf numFmtId="0" fontId="42" fillId="0" borderId="26" xfId="0" applyFont="1" applyBorder="1" applyAlignment="1">
      <alignment vertical="center" wrapText="1"/>
    </xf>
    <xf numFmtId="10" fontId="0" fillId="28" borderId="17" xfId="0" applyNumberFormat="1" applyFont="1" applyFill="1" applyBorder="1" applyAlignment="1">
      <alignment vertical="center" wrapText="1"/>
    </xf>
    <xf numFmtId="0" fontId="0" fillId="0" borderId="36" xfId="0" applyFont="1" applyBorder="1" applyAlignment="1">
      <alignment vertical="center" wrapText="1"/>
    </xf>
    <xf numFmtId="44" fontId="0" fillId="0" borderId="38" xfId="0" applyNumberFormat="1" applyFont="1" applyBorder="1" applyAlignment="1">
      <alignment vertical="center" wrapText="1"/>
    </xf>
    <xf numFmtId="10" fontId="0" fillId="0" borderId="38" xfId="3" applyNumberFormat="1" applyFont="1" applyBorder="1" applyAlignment="1">
      <alignment vertical="center" wrapText="1"/>
    </xf>
    <xf numFmtId="10" fontId="0" fillId="20" borderId="38" xfId="0" applyNumberFormat="1" applyFont="1" applyFill="1" applyBorder="1" applyAlignment="1">
      <alignment vertical="center" wrapText="1"/>
    </xf>
    <xf numFmtId="43" fontId="0" fillId="0" borderId="38" xfId="1" applyFont="1" applyBorder="1" applyAlignment="1">
      <alignment horizontal="center" vertical="center" wrapText="1"/>
    </xf>
    <xf numFmtId="0" fontId="42" fillId="0" borderId="37" xfId="0" applyFont="1" applyBorder="1" applyAlignment="1">
      <alignment vertical="center" wrapText="1"/>
    </xf>
    <xf numFmtId="44" fontId="0" fillId="18" borderId="55" xfId="0" applyNumberFormat="1" applyFont="1" applyFill="1" applyBorder="1" applyAlignment="1">
      <alignment vertical="center" wrapText="1"/>
    </xf>
    <xf numFmtId="10" fontId="0" fillId="0" borderId="55" xfId="3" applyNumberFormat="1" applyFont="1" applyBorder="1" applyAlignment="1">
      <alignment vertical="center" wrapText="1"/>
    </xf>
    <xf numFmtId="10" fontId="0" fillId="0" borderId="55" xfId="0" applyNumberFormat="1" applyFont="1" applyFill="1" applyBorder="1" applyAlignment="1">
      <alignment vertical="center" wrapText="1"/>
    </xf>
    <xf numFmtId="43" fontId="0" fillId="0" borderId="55" xfId="1" applyFont="1" applyBorder="1" applyAlignment="1">
      <alignment horizontal="center" vertical="center" wrapText="1"/>
    </xf>
    <xf numFmtId="0" fontId="17" fillId="0" borderId="4" xfId="0" applyFont="1" applyBorder="1"/>
    <xf numFmtId="0" fontId="17" fillId="13" borderId="6" xfId="0" quotePrefix="1" applyFont="1" applyFill="1" applyBorder="1"/>
    <xf numFmtId="0" fontId="0" fillId="13" borderId="7" xfId="0" applyFill="1" applyBorder="1"/>
    <xf numFmtId="0" fontId="23" fillId="0" borderId="1" xfId="0" applyFont="1" applyFill="1" applyBorder="1" applyAlignment="1">
      <alignment horizontal="left" wrapText="1"/>
    </xf>
    <xf numFmtId="0" fontId="23" fillId="0" borderId="2" xfId="0" applyFont="1" applyFill="1" applyBorder="1" applyAlignment="1">
      <alignment horizontal="left" wrapText="1"/>
    </xf>
    <xf numFmtId="0" fontId="23" fillId="0" borderId="3" xfId="0" applyFont="1" applyFill="1" applyBorder="1" applyAlignment="1">
      <alignment horizontal="left" wrapText="1"/>
    </xf>
    <xf numFmtId="0" fontId="23" fillId="0" borderId="4" xfId="0" applyFont="1" applyFill="1" applyBorder="1" applyAlignment="1">
      <alignment horizontal="left" wrapText="1"/>
    </xf>
    <xf numFmtId="0" fontId="23" fillId="0" borderId="0" xfId="0" applyFont="1" applyFill="1" applyBorder="1" applyAlignment="1">
      <alignment horizontal="left" wrapText="1"/>
    </xf>
    <xf numFmtId="0" fontId="23" fillId="0" borderId="5" xfId="0" applyFont="1" applyFill="1" applyBorder="1" applyAlignment="1">
      <alignment horizontal="left" wrapText="1"/>
    </xf>
    <xf numFmtId="0" fontId="28" fillId="0" borderId="0" xfId="0" applyFont="1" applyAlignment="1">
      <alignment horizontal="center"/>
    </xf>
    <xf numFmtId="0" fontId="0" fillId="0" borderId="30" xfId="0" applyBorder="1" applyAlignment="1">
      <alignment horizontal="right"/>
    </xf>
    <xf numFmtId="0" fontId="0" fillId="0" borderId="27" xfId="0" applyBorder="1" applyAlignment="1">
      <alignment horizontal="right"/>
    </xf>
    <xf numFmtId="0" fontId="0" fillId="0" borderId="4" xfId="0" applyBorder="1" applyAlignment="1">
      <alignment horizontal="right"/>
    </xf>
    <xf numFmtId="0" fontId="0" fillId="0" borderId="28" xfId="0" applyBorder="1" applyAlignment="1">
      <alignment horizontal="right"/>
    </xf>
    <xf numFmtId="0" fontId="29" fillId="0" borderId="1" xfId="0" applyFont="1" applyBorder="1" applyAlignment="1">
      <alignment horizontal="left"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23" fillId="0" borderId="1" xfId="0" applyFont="1" applyBorder="1" applyAlignment="1">
      <alignment horizontal="left" wrapText="1"/>
    </xf>
    <xf numFmtId="0" fontId="23" fillId="0" borderId="2" xfId="0" applyFont="1" applyBorder="1" applyAlignment="1">
      <alignment horizontal="left" wrapText="1"/>
    </xf>
    <xf numFmtId="0" fontId="23" fillId="0" borderId="3" xfId="0" applyFont="1" applyBorder="1" applyAlignment="1">
      <alignment horizontal="left" wrapText="1"/>
    </xf>
    <xf numFmtId="0" fontId="37" fillId="9" borderId="13" xfId="0" applyFont="1" applyFill="1" applyBorder="1" applyAlignment="1">
      <alignment horizontal="center"/>
    </xf>
    <xf numFmtId="0" fontId="37" fillId="9" borderId="15" xfId="0" applyFont="1" applyFill="1" applyBorder="1" applyAlignment="1">
      <alignment horizontal="center"/>
    </xf>
    <xf numFmtId="0" fontId="37" fillId="9" borderId="14" xfId="0" applyFont="1" applyFill="1" applyBorder="1" applyAlignment="1">
      <alignment horizontal="center"/>
    </xf>
    <xf numFmtId="0" fontId="15" fillId="0" borderId="18" xfId="0" applyFont="1" applyBorder="1" applyAlignment="1">
      <alignment horizontal="center"/>
    </xf>
    <xf numFmtId="0" fontId="15" fillId="0" borderId="19" xfId="0" applyFont="1" applyBorder="1" applyAlignment="1">
      <alignment horizontal="center"/>
    </xf>
    <xf numFmtId="0" fontId="15" fillId="0" borderId="17" xfId="0" applyFont="1" applyBorder="1" applyAlignment="1">
      <alignment horizontal="center"/>
    </xf>
    <xf numFmtId="0" fontId="15" fillId="0" borderId="31" xfId="0" applyFont="1" applyBorder="1" applyAlignment="1">
      <alignment horizontal="center"/>
    </xf>
    <xf numFmtId="0" fontId="4" fillId="6" borderId="1" xfId="0" applyFont="1" applyFill="1" applyBorder="1" applyAlignment="1">
      <alignment horizontal="center"/>
    </xf>
    <xf numFmtId="0" fontId="4" fillId="6" borderId="3" xfId="0" applyFont="1" applyFill="1" applyBorder="1" applyAlignment="1">
      <alignment horizontal="center"/>
    </xf>
    <xf numFmtId="0" fontId="4" fillId="6" borderId="4" xfId="0" applyFont="1" applyFill="1" applyBorder="1" applyAlignment="1">
      <alignment horizontal="center"/>
    </xf>
    <xf numFmtId="0" fontId="4" fillId="6" borderId="5" xfId="0" applyFont="1" applyFill="1" applyBorder="1" applyAlignment="1">
      <alignment horizontal="center"/>
    </xf>
    <xf numFmtId="0" fontId="9" fillId="6" borderId="4" xfId="0" applyFont="1" applyFill="1" applyBorder="1" applyAlignment="1">
      <alignment horizontal="center"/>
    </xf>
    <xf numFmtId="0" fontId="9" fillId="6" borderId="5" xfId="0" applyFont="1" applyFill="1" applyBorder="1" applyAlignment="1">
      <alignment horizontal="center"/>
    </xf>
    <xf numFmtId="0" fontId="6" fillId="0" borderId="0" xfId="0" quotePrefix="1" applyFont="1" applyFill="1" applyBorder="1" applyAlignment="1">
      <alignment horizontal="right"/>
    </xf>
    <xf numFmtId="0" fontId="6" fillId="0" borderId="5" xfId="0" quotePrefix="1" applyFont="1" applyFill="1" applyBorder="1" applyAlignment="1">
      <alignment horizontal="right"/>
    </xf>
    <xf numFmtId="0" fontId="6" fillId="0" borderId="0" xfId="0" applyFont="1" applyFill="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11" fillId="0" borderId="0" xfId="0" applyFont="1" applyAlignment="1">
      <alignment horizontal="right"/>
    </xf>
    <xf numFmtId="0" fontId="11" fillId="0" borderId="5" xfId="0" applyFont="1" applyBorder="1" applyAlignment="1">
      <alignment horizontal="right"/>
    </xf>
    <xf numFmtId="0" fontId="0" fillId="3" borderId="15" xfId="0" applyFill="1" applyBorder="1" applyAlignment="1">
      <alignment horizontal="right"/>
    </xf>
    <xf numFmtId="0" fontId="0" fillId="3" borderId="13" xfId="0" applyFill="1" applyBorder="1" applyAlignment="1">
      <alignment horizontal="center"/>
    </xf>
    <xf numFmtId="0" fontId="0" fillId="3" borderId="14" xfId="0" applyFill="1" applyBorder="1" applyAlignment="1">
      <alignment horizontal="center"/>
    </xf>
    <xf numFmtId="0" fontId="0" fillId="3" borderId="15" xfId="0" applyFill="1" applyBorder="1" applyAlignment="1">
      <alignment horizontal="center"/>
    </xf>
    <xf numFmtId="164" fontId="0" fillId="6" borderId="1" xfId="0" applyNumberFormat="1" applyFill="1" applyBorder="1" applyAlignment="1">
      <alignment horizontal="center"/>
    </xf>
    <xf numFmtId="164" fontId="0" fillId="6" borderId="3" xfId="0" applyNumberFormat="1" applyFill="1" applyBorder="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44" fontId="2" fillId="3" borderId="15" xfId="0" applyNumberFormat="1" applyFont="1" applyFill="1" applyBorder="1" applyAlignment="1">
      <alignment horizontal="center"/>
    </xf>
    <xf numFmtId="44" fontId="2" fillId="3" borderId="13" xfId="0" applyNumberFormat="1" applyFont="1" applyFill="1" applyBorder="1" applyAlignment="1">
      <alignment horizontal="center"/>
    </xf>
    <xf numFmtId="44" fontId="2" fillId="3" borderId="14" xfId="0" applyNumberFormat="1" applyFont="1" applyFill="1" applyBorder="1" applyAlignment="1">
      <alignment horizontal="center"/>
    </xf>
    <xf numFmtId="0" fontId="9" fillId="0" borderId="2" xfId="0" applyFont="1" applyBorder="1" applyAlignment="1">
      <alignment horizontal="center"/>
    </xf>
    <xf numFmtId="0" fontId="12" fillId="0" borderId="13" xfId="0" applyFont="1" applyBorder="1" applyAlignment="1">
      <alignment horizontal="center"/>
    </xf>
    <xf numFmtId="0" fontId="12" fillId="0" borderId="14" xfId="0" applyFont="1" applyBorder="1" applyAlignment="1">
      <alignment horizontal="center"/>
    </xf>
    <xf numFmtId="0" fontId="2" fillId="0" borderId="13" xfId="0" applyFont="1" applyBorder="1" applyAlignment="1">
      <alignment horizontal="center"/>
    </xf>
    <xf numFmtId="0" fontId="2" fillId="0" borderId="15" xfId="0" applyFont="1" applyBorder="1" applyAlignment="1">
      <alignment horizontal="center"/>
    </xf>
    <xf numFmtId="0" fontId="2" fillId="0" borderId="14" xfId="0"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0" fontId="9" fillId="0" borderId="15" xfId="0" applyFont="1" applyBorder="1" applyAlignment="1">
      <alignment horizontal="center"/>
    </xf>
    <xf numFmtId="164" fontId="0" fillId="6" borderId="6" xfId="0" applyNumberFormat="1" applyFill="1" applyBorder="1" applyAlignment="1">
      <alignment horizontal="center"/>
    </xf>
    <xf numFmtId="164" fontId="0" fillId="6" borderId="8" xfId="0" applyNumberFormat="1" applyFill="1" applyBorder="1" applyAlignment="1">
      <alignment horizontal="center"/>
    </xf>
    <xf numFmtId="164" fontId="0" fillId="0" borderId="6" xfId="0" applyNumberFormat="1" applyBorder="1" applyAlignment="1">
      <alignment horizontal="center"/>
    </xf>
    <xf numFmtId="164" fontId="0" fillId="0" borderId="8" xfId="0" applyNumberFormat="1" applyBorder="1" applyAlignment="1">
      <alignment horizontal="center"/>
    </xf>
    <xf numFmtId="164" fontId="12" fillId="3" borderId="2" xfId="0" applyNumberFormat="1" applyFont="1" applyFill="1" applyBorder="1" applyAlignment="1">
      <alignment horizontal="center"/>
    </xf>
    <xf numFmtId="0" fontId="12" fillId="22" borderId="22" xfId="0" applyFont="1" applyFill="1" applyBorder="1" applyAlignment="1">
      <alignment horizontal="center" vertical="center"/>
    </xf>
    <xf numFmtId="0" fontId="12" fillId="22" borderId="23" xfId="0" applyFont="1" applyFill="1" applyBorder="1" applyAlignment="1">
      <alignment horizontal="center" vertical="center"/>
    </xf>
    <xf numFmtId="0" fontId="12" fillId="22" borderId="32" xfId="0" applyFont="1" applyFill="1" applyBorder="1" applyAlignment="1">
      <alignment horizontal="center" vertical="center"/>
    </xf>
    <xf numFmtId="0" fontId="12" fillId="22" borderId="17" xfId="0" applyFont="1" applyFill="1" applyBorder="1" applyAlignment="1">
      <alignment horizontal="center" vertical="center"/>
    </xf>
    <xf numFmtId="0" fontId="0" fillId="22" borderId="23" xfId="0" applyFill="1" applyBorder="1" applyAlignment="1">
      <alignment horizontal="center"/>
    </xf>
    <xf numFmtId="0" fontId="0" fillId="22" borderId="24" xfId="0" applyFill="1" applyBorder="1" applyAlignment="1">
      <alignment horizontal="center"/>
    </xf>
    <xf numFmtId="0" fontId="0" fillId="22" borderId="33" xfId="0" applyFill="1" applyBorder="1" applyAlignment="1">
      <alignment horizontal="center" vertical="center" wrapText="1"/>
    </xf>
    <xf numFmtId="0" fontId="0" fillId="22" borderId="34" xfId="0" applyFill="1" applyBorder="1" applyAlignment="1">
      <alignment horizontal="center" vertical="center" wrapText="1"/>
    </xf>
    <xf numFmtId="0" fontId="0" fillId="11" borderId="1" xfId="0" applyFill="1" applyBorder="1" applyAlignment="1">
      <alignment horizontal="center"/>
    </xf>
    <xf numFmtId="0" fontId="0" fillId="11" borderId="3" xfId="0" applyFill="1" applyBorder="1" applyAlignment="1">
      <alignment horizontal="center"/>
    </xf>
    <xf numFmtId="0" fontId="0" fillId="0" borderId="40" xfId="0" applyFont="1" applyBorder="1" applyAlignment="1">
      <alignment horizontal="center" wrapText="1"/>
    </xf>
    <xf numFmtId="0" fontId="0" fillId="0" borderId="41" xfId="0" applyFont="1" applyBorder="1" applyAlignment="1">
      <alignment horizontal="center" wrapText="1"/>
    </xf>
    <xf numFmtId="0" fontId="0" fillId="16" borderId="1" xfId="0" applyFill="1" applyBorder="1" applyAlignment="1">
      <alignment horizontal="center"/>
    </xf>
    <xf numFmtId="0" fontId="0" fillId="16" borderId="3" xfId="0" applyFill="1" applyBorder="1" applyAlignment="1">
      <alignment horizontal="center"/>
    </xf>
    <xf numFmtId="0" fontId="0" fillId="0" borderId="40" xfId="0" applyFont="1" applyBorder="1" applyAlignment="1">
      <alignment horizontal="center" vertical="center"/>
    </xf>
    <xf numFmtId="0" fontId="0" fillId="0" borderId="41" xfId="0" applyFont="1" applyBorder="1" applyAlignment="1">
      <alignment horizontal="center" vertical="center"/>
    </xf>
    <xf numFmtId="0" fontId="0" fillId="18" borderId="40" xfId="0" applyFont="1" applyFill="1" applyBorder="1" applyAlignment="1">
      <alignment horizontal="center" vertical="center"/>
    </xf>
    <xf numFmtId="0" fontId="0" fillId="18" borderId="41" xfId="0" applyFont="1" applyFill="1" applyBorder="1" applyAlignment="1">
      <alignment horizontal="center" vertical="center"/>
    </xf>
    <xf numFmtId="0" fontId="0" fillId="0" borderId="40" xfId="0" applyFont="1" applyBorder="1" applyAlignment="1">
      <alignment horizontal="center" vertical="center" wrapText="1"/>
    </xf>
    <xf numFmtId="0" fontId="0" fillId="0" borderId="41" xfId="0" applyFont="1" applyBorder="1" applyAlignment="1">
      <alignment horizontal="center" vertical="center" wrapText="1"/>
    </xf>
    <xf numFmtId="0" fontId="55" fillId="9" borderId="13" xfId="0" applyFont="1" applyFill="1" applyBorder="1" applyAlignment="1">
      <alignment horizontal="center"/>
    </xf>
    <xf numFmtId="0" fontId="55" fillId="9" borderId="15" xfId="0" applyFont="1" applyFill="1" applyBorder="1" applyAlignment="1">
      <alignment horizontal="center"/>
    </xf>
    <xf numFmtId="0" fontId="55" fillId="9" borderId="14" xfId="0" applyFont="1" applyFill="1" applyBorder="1" applyAlignment="1">
      <alignment horizontal="center"/>
    </xf>
    <xf numFmtId="1" fontId="59" fillId="0" borderId="49" xfId="0" applyNumberFormat="1" applyFont="1" applyFill="1" applyBorder="1" applyAlignment="1">
      <alignment horizontal="center"/>
    </xf>
    <xf numFmtId="1" fontId="59" fillId="0" borderId="15" xfId="0" applyNumberFormat="1" applyFont="1" applyFill="1" applyBorder="1" applyAlignment="1">
      <alignment horizontal="center"/>
    </xf>
    <xf numFmtId="1" fontId="59" fillId="0" borderId="50" xfId="0" applyNumberFormat="1" applyFont="1" applyFill="1" applyBorder="1" applyAlignment="1">
      <alignment horizontal="center"/>
    </xf>
    <xf numFmtId="0" fontId="61" fillId="9" borderId="1" xfId="0" applyFont="1" applyFill="1" applyBorder="1" applyAlignment="1">
      <alignment horizontal="center"/>
    </xf>
    <xf numFmtId="0" fontId="61" fillId="9" borderId="2" xfId="0" applyFont="1" applyFill="1" applyBorder="1" applyAlignment="1">
      <alignment horizontal="center"/>
    </xf>
    <xf numFmtId="0" fontId="61" fillId="9" borderId="3" xfId="0" applyFont="1" applyFill="1" applyBorder="1" applyAlignment="1">
      <alignment horizontal="center"/>
    </xf>
    <xf numFmtId="0" fontId="61" fillId="9" borderId="13" xfId="0" applyFont="1" applyFill="1" applyBorder="1" applyAlignment="1">
      <alignment horizontal="center" wrapText="1"/>
    </xf>
    <xf numFmtId="0" fontId="61" fillId="9" borderId="15" xfId="0" applyFont="1" applyFill="1" applyBorder="1" applyAlignment="1">
      <alignment horizontal="center" wrapText="1"/>
    </xf>
    <xf numFmtId="0" fontId="61" fillId="9" borderId="14" xfId="0" applyFont="1" applyFill="1" applyBorder="1" applyAlignment="1">
      <alignment horizontal="center" wrapText="1"/>
    </xf>
    <xf numFmtId="0" fontId="57" fillId="0" borderId="2" xfId="0" applyFont="1" applyFill="1" applyBorder="1" applyAlignment="1">
      <alignment horizontal="left" wrapText="1"/>
    </xf>
    <xf numFmtId="0" fontId="57" fillId="0" borderId="3" xfId="0" applyFont="1" applyFill="1" applyBorder="1" applyAlignment="1">
      <alignment horizontal="left" wrapText="1"/>
    </xf>
    <xf numFmtId="0" fontId="0" fillId="0" borderId="0" xfId="0" quotePrefix="1" applyFont="1" applyAlignment="1">
      <alignment horizontal="center" vertical="center" wrapText="1"/>
    </xf>
    <xf numFmtId="0" fontId="0" fillId="0" borderId="4" xfId="0" applyFont="1" applyBorder="1" applyAlignment="1">
      <alignment horizontal="left" vertical="center" wrapText="1"/>
    </xf>
    <xf numFmtId="0" fontId="0" fillId="0" borderId="0" xfId="0" applyFont="1" applyAlignment="1">
      <alignment horizontal="left" vertical="center" wrapText="1"/>
    </xf>
    <xf numFmtId="0" fontId="64" fillId="0" borderId="53" xfId="0" applyFont="1" applyBorder="1" applyAlignment="1">
      <alignment horizontal="center" wrapText="1"/>
    </xf>
    <xf numFmtId="0" fontId="0" fillId="11" borderId="22" xfId="0" applyFont="1" applyFill="1" applyBorder="1" applyAlignment="1">
      <alignment vertical="center" wrapText="1"/>
    </xf>
    <xf numFmtId="0" fontId="0" fillId="11" borderId="36" xfId="0" applyFont="1" applyFill="1" applyBorder="1" applyAlignment="1">
      <alignment vertical="center" wrapText="1"/>
    </xf>
    <xf numFmtId="0" fontId="0" fillId="11" borderId="23" xfId="0" applyFont="1" applyFill="1" applyBorder="1" applyAlignment="1">
      <alignment horizontal="center" vertical="center" wrapText="1"/>
    </xf>
    <xf numFmtId="0" fontId="0" fillId="11" borderId="38" xfId="0" applyFont="1" applyFill="1" applyBorder="1" applyAlignment="1">
      <alignment horizontal="center" vertical="center" wrapText="1"/>
    </xf>
    <xf numFmtId="0" fontId="2" fillId="0" borderId="17" xfId="0" applyFont="1" applyBorder="1"/>
    <xf numFmtId="0" fontId="0" fillId="0" borderId="17" xfId="0" applyBorder="1"/>
    <xf numFmtId="9" fontId="0" fillId="0" borderId="17" xfId="0" applyNumberFormat="1" applyBorder="1"/>
    <xf numFmtId="0" fontId="0" fillId="0" borderId="17" xfId="0" applyBorder="1" applyAlignment="1">
      <alignment horizontal="center"/>
    </xf>
    <xf numFmtId="44" fontId="0" fillId="0" borderId="17" xfId="2" applyFont="1" applyBorder="1"/>
    <xf numFmtId="44" fontId="0" fillId="0" borderId="17" xfId="0" applyNumberFormat="1" applyBorder="1"/>
    <xf numFmtId="0" fontId="66" fillId="0" borderId="0" xfId="0" applyFont="1"/>
    <xf numFmtId="0" fontId="66" fillId="0" borderId="0" xfId="0" applyFont="1" applyAlignment="1">
      <alignment horizontal="center"/>
    </xf>
    <xf numFmtId="0" fontId="66" fillId="30" borderId="0" xfId="0" applyFont="1" applyFill="1" applyAlignment="1">
      <alignment horizontal="left"/>
    </xf>
    <xf numFmtId="0" fontId="0" fillId="30" borderId="0" xfId="0" applyFill="1"/>
    <xf numFmtId="9" fontId="0" fillId="30" borderId="0" xfId="0" applyNumberFormat="1" applyFill="1"/>
    <xf numFmtId="3" fontId="0" fillId="0" borderId="0" xfId="0" applyNumberFormat="1" applyAlignment="1">
      <alignment horizontal="center"/>
    </xf>
    <xf numFmtId="0" fontId="66" fillId="14" borderId="0" xfId="0" applyFont="1" applyFill="1" applyAlignment="1">
      <alignment horizontal="left"/>
    </xf>
    <xf numFmtId="0" fontId="23" fillId="0" borderId="0" xfId="0" applyFont="1"/>
    <xf numFmtId="0" fontId="27" fillId="30" borderId="0" xfId="0" applyFont="1" applyFill="1"/>
    <xf numFmtId="0" fontId="27" fillId="0" borderId="0" xfId="0" applyFont="1" applyAlignment="1">
      <alignment horizontal="center"/>
    </xf>
    <xf numFmtId="3" fontId="23" fillId="0" borderId="0" xfId="0" applyNumberFormat="1" applyFont="1"/>
    <xf numFmtId="1" fontId="0" fillId="0" borderId="0" xfId="0" applyNumberFormat="1"/>
    <xf numFmtId="3" fontId="0" fillId="13" borderId="0" xfId="0" applyNumberFormat="1" applyFill="1"/>
    <xf numFmtId="3" fontId="2" fillId="0" borderId="11" xfId="0" applyNumberFormat="1" applyFont="1" applyBorder="1"/>
    <xf numFmtId="0" fontId="27" fillId="14" borderId="0" xfId="0" applyFont="1" applyFill="1"/>
    <xf numFmtId="1" fontId="0" fillId="0" borderId="0" xfId="3" applyNumberFormat="1" applyFont="1"/>
    <xf numFmtId="0" fontId="2" fillId="23" borderId="13" xfId="0" applyFont="1" applyFill="1" applyBorder="1"/>
    <xf numFmtId="0" fontId="0" fillId="23" borderId="15" xfId="0" applyFill="1" applyBorder="1"/>
    <xf numFmtId="0" fontId="0" fillId="23" borderId="14" xfId="0" applyFill="1" applyBorder="1"/>
    <xf numFmtId="6" fontId="23" fillId="0" borderId="0" xfId="0" applyNumberFormat="1" applyFont="1"/>
    <xf numFmtId="42" fontId="23" fillId="0" borderId="11" xfId="0" applyNumberFormat="1" applyFont="1" applyBorder="1"/>
    <xf numFmtId="0" fontId="2" fillId="19" borderId="0" xfId="0" applyFont="1" applyFill="1"/>
    <xf numFmtId="0" fontId="0" fillId="19" borderId="0" xfId="0" applyFill="1"/>
    <xf numFmtId="0" fontId="66" fillId="19" borderId="0" xfId="0" applyFont="1" applyFill="1"/>
    <xf numFmtId="0" fontId="27" fillId="19" borderId="0" xfId="0" applyFont="1" applyFill="1" applyAlignment="1">
      <alignment horizontal="center"/>
    </xf>
    <xf numFmtId="3" fontId="0" fillId="19" borderId="0" xfId="0" applyNumberFormat="1" applyFill="1"/>
    <xf numFmtId="0" fontId="0" fillId="23" borderId="1" xfId="0" applyFill="1" applyBorder="1"/>
    <xf numFmtId="165" fontId="0" fillId="23" borderId="2" xfId="1" applyNumberFormat="1" applyFont="1" applyFill="1" applyBorder="1"/>
    <xf numFmtId="165" fontId="0" fillId="23" borderId="3" xfId="1" applyNumberFormat="1" applyFont="1" applyFill="1" applyBorder="1"/>
    <xf numFmtId="0" fontId="5" fillId="19" borderId="0" xfId="0" applyFont="1" applyFill="1"/>
    <xf numFmtId="0" fontId="0" fillId="23" borderId="4" xfId="0" applyFill="1" applyBorder="1"/>
    <xf numFmtId="165" fontId="0" fillId="23" borderId="0" xfId="1" applyNumberFormat="1" applyFont="1" applyFill="1" applyBorder="1"/>
    <xf numFmtId="165" fontId="0" fillId="23" borderId="5" xfId="1" applyNumberFormat="1" applyFont="1" applyFill="1" applyBorder="1"/>
    <xf numFmtId="0" fontId="0" fillId="23" borderId="0" xfId="0" applyFill="1"/>
    <xf numFmtId="0" fontId="0" fillId="23" borderId="6" xfId="0" applyFill="1" applyBorder="1"/>
    <xf numFmtId="165" fontId="0" fillId="23" borderId="7" xfId="0" applyNumberFormat="1" applyFill="1" applyBorder="1"/>
    <xf numFmtId="165" fontId="0" fillId="23" borderId="8" xfId="0" applyNumberFormat="1" applyFill="1" applyBorder="1"/>
    <xf numFmtId="44" fontId="0" fillId="19" borderId="0" xfId="0" applyNumberFormat="1" applyFill="1"/>
    <xf numFmtId="164" fontId="2" fillId="19" borderId="11" xfId="0" applyNumberFormat="1" applyFont="1" applyFill="1" applyBorder="1"/>
    <xf numFmtId="0" fontId="2" fillId="19" borderId="11" xfId="0" applyFont="1" applyFill="1" applyBorder="1"/>
    <xf numFmtId="44" fontId="5" fillId="0" borderId="0" xfId="0" applyNumberFormat="1" applyFont="1"/>
    <xf numFmtId="164" fontId="2" fillId="0" borderId="11" xfId="0" applyNumberFormat="1" applyFont="1" applyBorder="1"/>
    <xf numFmtId="44" fontId="2" fillId="0" borderId="11" xfId="0" applyNumberFormat="1" applyFont="1" applyBorder="1"/>
  </cellXfs>
  <cellStyles count="7">
    <cellStyle name="Comma" xfId="1" builtinId="3"/>
    <cellStyle name="Currency" xfId="2" builtinId="4"/>
    <cellStyle name="Currency 2" xfId="5"/>
    <cellStyle name="Normal" xfId="0" builtinId="0"/>
    <cellStyle name="Normal 2" xfId="4"/>
    <cellStyle name="Percent" xfId="3" builtinId="5"/>
    <cellStyle name="Percent 2" xfId="6"/>
  </cellStyles>
  <dxfs count="0"/>
  <tableStyles count="0" defaultTableStyle="TableStyleMedium2" defaultPivotStyle="PivotStyleLight16"/>
  <colors>
    <mruColors>
      <color rgb="FFCC99FF"/>
      <color rgb="FF66CC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8" Type="http://schemas.openxmlformats.org/officeDocument/2006/relationships/image" Target="../media/image4_scrub.png"/><Relationship Id="rId3" Type="http://schemas.openxmlformats.org/officeDocument/2006/relationships/customXml" Target="../ink/ink2.xml"/><Relationship Id="rId2" Type="http://schemas.openxmlformats.org/officeDocument/2006/relationships/image" Target="../media/image1_scrub.png"/><Relationship Id="rId1" Type="http://schemas.openxmlformats.org/officeDocument/2006/relationships/customXml" Target="../ink/ink1.xml"/><Relationship Id="rId5" Type="http://schemas.openxmlformats.org/officeDocument/2006/relationships/customXml" Target="../ink/ink3.xml"/><Relationship Id="rId4" Type="http://schemas.openxmlformats.org/officeDocument/2006/relationships/image" Target="../media/image2_scrub.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ustomXml" Target="../ink/ink4.xml"/><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9_scrub.png"/></Relationships>
</file>

<file path=xl/drawings/_rels/drawing5.xml.rels><?xml version='1.0' encoding='utf-8' standalone='yes'?>
<Relationships xmlns="http://schemas.openxmlformats.org/package/2006/relationships"><Relationship Id="rId3" Type="http://schemas.openxmlformats.org/officeDocument/2006/relationships/image" Target="../media/image11_scrub.png"/><Relationship Id="rId2" Type="http://schemas.openxmlformats.org/officeDocument/2006/relationships/customXml" Target="../ink/ink5.xml"/><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8" Type="http://schemas.openxmlformats.org/officeDocument/2006/relationships/image" Target="NULL"/><Relationship Id="rId13" Type="http://schemas.openxmlformats.org/officeDocument/2006/relationships/customXml" Target="../ink/ink11.xml"/><Relationship Id="rId18" Type="http://schemas.openxmlformats.org/officeDocument/2006/relationships/image" Target="NULL"/><Relationship Id="rId3" Type="http://schemas.openxmlformats.org/officeDocument/2006/relationships/customXml" Target="../ink/ink6.xml"/><Relationship Id="rId7" Type="http://schemas.openxmlformats.org/officeDocument/2006/relationships/customXml" Target="../ink/ink8.xml"/><Relationship Id="rId12" Type="http://schemas.openxmlformats.org/officeDocument/2006/relationships/image" Target="NULL"/><Relationship Id="rId17" Type="http://schemas.openxmlformats.org/officeDocument/2006/relationships/customXml" Target="../ink/ink13.xml"/><Relationship Id="rId2" Type="http://schemas.openxmlformats.org/officeDocument/2006/relationships/image" Target="../media/image7.png"/><Relationship Id="rId16" Type="http://schemas.openxmlformats.org/officeDocument/2006/relationships/image" Target="NULL"/><Relationship Id="rId20" Type="http://schemas.openxmlformats.org/officeDocument/2006/relationships/image" Target="NULL"/><Relationship Id="rId1" Type="http://schemas.openxmlformats.org/officeDocument/2006/relationships/image" Target="../media/image6.png"/><Relationship Id="rId6" Type="http://schemas.openxmlformats.org/officeDocument/2006/relationships/image" Target="NULL"/><Relationship Id="rId11" Type="http://schemas.openxmlformats.org/officeDocument/2006/relationships/customXml" Target="../ink/ink10.xml"/><Relationship Id="rId5" Type="http://schemas.openxmlformats.org/officeDocument/2006/relationships/customXml" Target="../ink/ink7.xml"/><Relationship Id="rId15" Type="http://schemas.openxmlformats.org/officeDocument/2006/relationships/customXml" Target="../ink/ink12.xml"/><Relationship Id="rId10" Type="http://schemas.openxmlformats.org/officeDocument/2006/relationships/image" Target="NULL"/><Relationship Id="rId19" Type="http://schemas.openxmlformats.org/officeDocument/2006/relationships/customXml" Target="../ink/ink14.xml"/><Relationship Id="rId4" Type="http://schemas.openxmlformats.org/officeDocument/2006/relationships/image" Target="NULL"/><Relationship Id="rId9" Type="http://schemas.openxmlformats.org/officeDocument/2006/relationships/customXml" Target="../ink/ink9.xml"/><Relationship Id="rId14" Type="http://schemas.openxmlformats.org/officeDocument/2006/relationships/image" Target="NULL"/></Relationships>
</file>

<file path=xl/drawings/_rels/drawing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8" Type="http://schemas.openxmlformats.org/officeDocument/2006/relationships/image" Target="../media/image14_scrub.png"/><Relationship Id="rId13" Type="http://schemas.openxmlformats.org/officeDocument/2006/relationships/customXml" Target="../ink/ink21.xml"/><Relationship Id="rId18" Type="http://schemas.openxmlformats.org/officeDocument/2006/relationships/image" Target="../media/image19_scrub.png"/><Relationship Id="rId26" Type="http://schemas.openxmlformats.org/officeDocument/2006/relationships/image" Target="../media/image23_scrub.png"/><Relationship Id="rId3" Type="http://schemas.openxmlformats.org/officeDocument/2006/relationships/customXml" Target="../ink/ink16.xml"/><Relationship Id="rId21" Type="http://schemas.openxmlformats.org/officeDocument/2006/relationships/customXml" Target="../ink/ink25.xml"/><Relationship Id="rId34" Type="http://schemas.openxmlformats.org/officeDocument/2006/relationships/image" Target="../media/image27_scrub.png"/><Relationship Id="rId7" Type="http://schemas.openxmlformats.org/officeDocument/2006/relationships/customXml" Target="../ink/ink18.xml"/><Relationship Id="rId12" Type="http://schemas.openxmlformats.org/officeDocument/2006/relationships/image" Target="../media/image16_scrub.png"/><Relationship Id="rId17" Type="http://schemas.openxmlformats.org/officeDocument/2006/relationships/customXml" Target="../ink/ink23.xml"/><Relationship Id="rId25" Type="http://schemas.openxmlformats.org/officeDocument/2006/relationships/customXml" Target="../ink/ink27.xml"/><Relationship Id="rId33" Type="http://schemas.openxmlformats.org/officeDocument/2006/relationships/customXml" Target="../ink/ink31.xml"/><Relationship Id="rId38" Type="http://schemas.openxmlformats.org/officeDocument/2006/relationships/image" Target="../media/image29_scrub.png"/><Relationship Id="rId2" Type="http://schemas.openxmlformats.org/officeDocument/2006/relationships/image" Target="../media/image10_scrub.png"/><Relationship Id="rId16" Type="http://schemas.openxmlformats.org/officeDocument/2006/relationships/image" Target="../media/image18_scrub.png"/><Relationship Id="rId20" Type="http://schemas.openxmlformats.org/officeDocument/2006/relationships/image" Target="../media/image20_scrub.png"/><Relationship Id="rId29" Type="http://schemas.openxmlformats.org/officeDocument/2006/relationships/customXml" Target="../ink/ink29.xml"/><Relationship Id="rId1" Type="http://schemas.openxmlformats.org/officeDocument/2006/relationships/customXml" Target="../ink/ink15.xml"/><Relationship Id="rId6" Type="http://schemas.openxmlformats.org/officeDocument/2006/relationships/image" Target="../media/image13_scrub.png"/><Relationship Id="rId11" Type="http://schemas.openxmlformats.org/officeDocument/2006/relationships/customXml" Target="../ink/ink20.xml"/><Relationship Id="rId24" Type="http://schemas.openxmlformats.org/officeDocument/2006/relationships/image" Target="../media/image22_scrub.png"/><Relationship Id="rId32" Type="http://schemas.openxmlformats.org/officeDocument/2006/relationships/image" Target="../media/image26_scrub.png"/><Relationship Id="rId37" Type="http://schemas.openxmlformats.org/officeDocument/2006/relationships/customXml" Target="../ink/ink33.xml"/><Relationship Id="rId5" Type="http://schemas.openxmlformats.org/officeDocument/2006/relationships/customXml" Target="../ink/ink17.xml"/><Relationship Id="rId15" Type="http://schemas.openxmlformats.org/officeDocument/2006/relationships/customXml" Target="../ink/ink22.xml"/><Relationship Id="rId23" Type="http://schemas.openxmlformats.org/officeDocument/2006/relationships/customXml" Target="../ink/ink26.xml"/><Relationship Id="rId28" Type="http://schemas.openxmlformats.org/officeDocument/2006/relationships/image" Target="../media/image24_scrub.png"/><Relationship Id="rId36" Type="http://schemas.openxmlformats.org/officeDocument/2006/relationships/image" Target="../media/image28_scrub.png"/><Relationship Id="rId10" Type="http://schemas.openxmlformats.org/officeDocument/2006/relationships/image" Target="../media/image15_scrub.png"/><Relationship Id="rId19" Type="http://schemas.openxmlformats.org/officeDocument/2006/relationships/customXml" Target="../ink/ink24.xml"/><Relationship Id="rId31" Type="http://schemas.openxmlformats.org/officeDocument/2006/relationships/customXml" Target="../ink/ink30.xml"/><Relationship Id="rId4" Type="http://schemas.openxmlformats.org/officeDocument/2006/relationships/image" Target="../media/image12_scrub.png"/><Relationship Id="rId9" Type="http://schemas.openxmlformats.org/officeDocument/2006/relationships/customXml" Target="../ink/ink19.xml"/><Relationship Id="rId14" Type="http://schemas.openxmlformats.org/officeDocument/2006/relationships/image" Target="../media/image17_scrub.png"/><Relationship Id="rId22" Type="http://schemas.openxmlformats.org/officeDocument/2006/relationships/image" Target="../media/image21_scrub.png"/><Relationship Id="rId27" Type="http://schemas.openxmlformats.org/officeDocument/2006/relationships/customXml" Target="../ink/ink28.xml"/><Relationship Id="rId30" Type="http://schemas.openxmlformats.org/officeDocument/2006/relationships/image" Target="../media/image25_scrub.png"/><Relationship Id="rId35" Type="http://schemas.openxmlformats.org/officeDocument/2006/relationships/customXml" Target="../ink/ink32.xml"/></Relationships>
</file>

<file path=xl/drawings/_rels/drawing13.xml.rels><?xml version='1.0' encoding='utf-8' standalone='yes'?>
<Relationships xmlns="http://schemas.openxmlformats.org/package/2006/relationships"><Relationship Id="rId8" Type="http://schemas.openxmlformats.org/officeDocument/2006/relationships/image" Target="../media/image4_scrub.png"/><Relationship Id="rId3" Type="http://schemas.openxmlformats.org/officeDocument/2006/relationships/customXml" Target="../ink/ink35.xml"/><Relationship Id="rId7" Type="http://schemas.openxmlformats.org/officeDocument/2006/relationships/customXml" Target="../ink/ink37.xml"/><Relationship Id="rId2" Type="http://schemas.openxmlformats.org/officeDocument/2006/relationships/image" Target="../media/image1_scrub.png"/><Relationship Id="rId1" Type="http://schemas.openxmlformats.org/officeDocument/2006/relationships/customXml" Target="../ink/ink34.xml"/><Relationship Id="rId6" Type="http://schemas.openxmlformats.org/officeDocument/2006/relationships/image" Target="../media/image3_scrub.png"/><Relationship Id="rId5" Type="http://schemas.openxmlformats.org/officeDocument/2006/relationships/customXml" Target="../ink/ink36.xml"/><Relationship Id="rId10" Type="http://schemas.openxmlformats.org/officeDocument/2006/relationships/image" Target="../media/image5_scrub.png"/><Relationship Id="rId4" Type="http://schemas.openxmlformats.org/officeDocument/2006/relationships/image" Target="../media/image2_scrub.png"/><Relationship Id="rId9" Type="http://schemas.openxmlformats.org/officeDocument/2006/relationships/customXml" Target="../ink/ink38.xml"/></Relationships>
</file>

<file path=xl/drawings/drawing1.xml><?xml version="1.0" encoding="utf-8"?>
<xdr:wsDr xmlns:xdr="http://schemas.openxmlformats.org/drawingml/2006/spreadsheetDrawing" xmlns:a="http://schemas.openxmlformats.org/drawingml/2006/main">
  <xdr:oneCellAnchor>
    <xdr:from>
      <xdr:col>12</xdr:col>
      <xdr:colOff>127000</xdr:colOff>
      <xdr:row>0</xdr:row>
      <xdr:rowOff>91722</xdr:rowOff>
    </xdr:from>
    <xdr:ext cx="3198812" cy="1905001"/>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469408" y="91722"/>
          <a:ext cx="3198812" cy="190500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r>
            <a:rPr lang="en-US" sz="1400"/>
            <a:t>UPS</a:t>
          </a:r>
          <a:r>
            <a:rPr lang="en-US" sz="1400" baseline="0"/>
            <a:t> 'N DOWNS makes down jackets. </a:t>
          </a:r>
        </a:p>
        <a:p>
          <a:r>
            <a:rPr lang="en-US" sz="1400" baseline="0"/>
            <a:t>Pertinent Budget and actual sales data for </a:t>
          </a:r>
        </a:p>
        <a:p>
          <a:r>
            <a:rPr lang="en-US" sz="1400" baseline="0"/>
            <a:t>Q2, Q3, &amp; Q4 are presented.</a:t>
          </a:r>
        </a:p>
        <a:p>
          <a:endParaRPr lang="en-US" sz="1400" baseline="0"/>
        </a:p>
        <a:p>
          <a:r>
            <a:rPr lang="en-US" sz="1400" baseline="0"/>
            <a:t>Also, key budgeting assumptions on </a:t>
          </a:r>
        </a:p>
        <a:p>
          <a:r>
            <a:rPr lang="en-US" sz="1400" baseline="0"/>
            <a:t>collections, production, purchasing, and </a:t>
          </a:r>
        </a:p>
        <a:p>
          <a:r>
            <a:rPr lang="en-US" sz="1400" baseline="0"/>
            <a:t>labor, used in budget preparations </a:t>
          </a:r>
        </a:p>
        <a:p>
          <a:r>
            <a:rPr lang="en-US" sz="1400" baseline="0"/>
            <a:t>are also presented.</a:t>
          </a:r>
        </a:p>
        <a:p>
          <a:endParaRPr lang="en-US" sz="1100" baseline="0"/>
        </a:p>
        <a:p>
          <a:endParaRPr lang="en-US" sz="1100" baseline="0"/>
        </a:p>
        <a:p>
          <a:endParaRPr lang="en-US" sz="1100" baseline="0"/>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724868</xdr:colOff>
      <xdr:row>25</xdr:row>
      <xdr:rowOff>137770</xdr:rowOff>
    </xdr:from>
    <xdr:to>
      <xdr:col>3</xdr:col>
      <xdr:colOff>848348</xdr:colOff>
      <xdr:row>28</xdr:row>
      <xdr:rowOff>155493</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xdr14:cNvContentPartPr/>
          </xdr14:nvContentPartPr>
          <xdr14:nvPr macro=""/>
          <xdr14:xfrm>
            <a:off x="5843208" y="4630694"/>
            <a:ext cx="123480" cy="528120"/>
          </xdr14:xfrm>
        </xdr:contentPart>
      </mc:Choice>
      <mc:Fallback xmlns="">
        <xdr:pic>
          <xdr:nvPicPr>
            <xdr:cNvPr id="3" name="Ink 2"/>
            <xdr:cNvPicPr/>
          </xdr:nvPicPr>
          <xdr:blipFill>
            <a:blip xmlns:r="http://schemas.openxmlformats.org/officeDocument/2006/relationships" r:embed="rId2"/>
            <a:stretch>
              <a:fillRect/>
            </a:stretch>
          </xdr:blipFill>
          <xdr:spPr>
            <a:xfrm>
              <a:off x="5836368" y="4626432"/>
              <a:ext cx="137160" cy="539130"/>
            </a:xfrm>
            <a:prstGeom prst="rect">
              <a:avLst/>
            </a:prstGeom>
          </xdr:spPr>
        </xdr:pic>
      </mc:Fallback>
    </mc:AlternateContent>
    <xdr:clientData/>
  </xdr:twoCellAnchor>
  <xdr:twoCellAnchor>
    <xdr:from>
      <xdr:col>4</xdr:col>
      <xdr:colOff>778090</xdr:colOff>
      <xdr:row>25</xdr:row>
      <xdr:rowOff>179890</xdr:rowOff>
    </xdr:from>
    <xdr:to>
      <xdr:col>5</xdr:col>
      <xdr:colOff>52990</xdr:colOff>
      <xdr:row>29</xdr:row>
      <xdr:rowOff>4936</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xdr14:cNvContentPartPr/>
          </xdr14:nvContentPartPr>
          <xdr14:nvPr macro=""/>
          <xdr14:xfrm>
            <a:off x="6773448" y="4672814"/>
            <a:ext cx="151920" cy="515160"/>
          </xdr14:xfrm>
        </xdr:contentPart>
      </mc:Choice>
      <mc:Fallback xmlns="">
        <xdr:pic>
          <xdr:nvPicPr>
            <xdr:cNvPr id="5" name="Ink 4"/>
            <xdr:cNvPicPr/>
          </xdr:nvPicPr>
          <xdr:blipFill>
            <a:blip xmlns:r="http://schemas.openxmlformats.org/officeDocument/2006/relationships" r:embed="rId4"/>
            <a:stretch>
              <a:fillRect/>
            </a:stretch>
          </xdr:blipFill>
          <xdr:spPr>
            <a:xfrm>
              <a:off x="6768099" y="4667141"/>
              <a:ext cx="162619" cy="527215"/>
            </a:xfrm>
            <a:prstGeom prst="rect">
              <a:avLst/>
            </a:prstGeom>
          </xdr:spPr>
        </xdr:pic>
      </mc:Fallback>
    </mc:AlternateContent>
    <xdr:clientData/>
  </xdr:twoCellAnchor>
  <xdr:twoCellAnchor>
    <xdr:from>
      <xdr:col>5</xdr:col>
      <xdr:colOff>693430</xdr:colOff>
      <xdr:row>26</xdr:row>
      <xdr:rowOff>60304</xdr:rowOff>
    </xdr:from>
    <xdr:to>
      <xdr:col>5</xdr:col>
      <xdr:colOff>819430</xdr:colOff>
      <xdr:row>28</xdr:row>
      <xdr:rowOff>170613</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xdr14:cNvContentPartPr/>
          </xdr14:nvContentPartPr>
          <xdr14:nvPr macro=""/>
          <xdr14:xfrm>
            <a:off x="7565808" y="4740134"/>
            <a:ext cx="126000" cy="433800"/>
          </xdr14:xfrm>
        </xdr:contentPart>
      </mc:Choice>
      <mc:Fallback xmlns="">
        <xdr:pic>
          <xdr:nvPicPr>
            <xdr:cNvPr id="11" name="Ink 10"/>
            <xdr:cNvPicPr/>
          </xdr:nvPicPr>
          <xdr:blipFill>
            <a:blip xmlns:r="http://schemas.openxmlformats.org/officeDocument/2006/relationships" r:embed="rId8"/>
            <a:stretch>
              <a:fillRect/>
            </a:stretch>
          </xdr:blipFill>
          <xdr:spPr>
            <a:xfrm>
              <a:off x="7557888" y="4733028"/>
              <a:ext cx="141840" cy="448722"/>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13</xdr:col>
      <xdr:colOff>552090</xdr:colOff>
      <xdr:row>25</xdr:row>
      <xdr:rowOff>401</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626415" cy="4529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xdr:colOff>
      <xdr:row>0</xdr:row>
      <xdr:rowOff>1</xdr:rowOff>
    </xdr:from>
    <xdr:to>
      <xdr:col>13</xdr:col>
      <xdr:colOff>462163</xdr:colOff>
      <xdr:row>17</xdr:row>
      <xdr:rowOff>34506</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 y="1"/>
          <a:ext cx="8536486" cy="3114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13</xdr:col>
      <xdr:colOff>437341</xdr:colOff>
      <xdr:row>37</xdr:row>
      <xdr:rowOff>16588</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623094"/>
          <a:ext cx="8511666" cy="3122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189768</xdr:colOff>
      <xdr:row>1</xdr:row>
      <xdr:rowOff>157552</xdr:rowOff>
    </xdr:from>
    <xdr:to>
      <xdr:col>2</xdr:col>
      <xdr:colOff>271016</xdr:colOff>
      <xdr:row>4</xdr:row>
      <xdr:rowOff>21100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5" name="Ink 4"/>
            <xdr14:cNvContentPartPr/>
          </xdr14:nvContentPartPr>
          <xdr14:nvPr macro=""/>
          <xdr14:xfrm>
            <a:off x="189768" y="336716"/>
            <a:ext cx="1328760" cy="401040"/>
          </xdr14:xfrm>
        </xdr:contentPart>
      </mc:Choice>
      <mc:Fallback xmlns="">
        <xdr:pic>
          <xdr:nvPicPr>
            <xdr:cNvPr id="5" name="Ink 4"/>
            <xdr:cNvPicPr/>
          </xdr:nvPicPr>
          <xdr:blipFill>
            <a:blip xmlns:r="http://schemas.openxmlformats.org/officeDocument/2006/relationships" r:embed="rId4"/>
            <a:stretch>
              <a:fillRect/>
            </a:stretch>
          </xdr:blipFill>
          <xdr:spPr>
            <a:xfrm>
              <a:off x="183984" y="329979"/>
              <a:ext cx="1341050" cy="414514"/>
            </a:xfrm>
            <a:prstGeom prst="rect">
              <a:avLst/>
            </a:prstGeom>
          </xdr:spPr>
        </xdr:pic>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48882</xdr:colOff>
      <xdr:row>17</xdr:row>
      <xdr:rowOff>43962</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48777" cy="3123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236696</xdr:colOff>
      <xdr:row>17</xdr:row>
      <xdr:rowOff>125289</xdr:rowOff>
    </xdr:from>
    <xdr:to>
      <xdr:col>4</xdr:col>
      <xdr:colOff>349173</xdr:colOff>
      <xdr:row>28</xdr:row>
      <xdr:rowOff>15464</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17" name="Ink 16"/>
            <xdr14:cNvContentPartPr/>
          </xdr14:nvContentPartPr>
          <xdr14:nvPr macro=""/>
          <xdr14:xfrm>
            <a:off x="1478900" y="3253802"/>
            <a:ext cx="1354680" cy="1931760"/>
          </xdr14:xfrm>
        </xdr:contentPart>
      </mc:Choice>
      <mc:Fallback xmlns="">
        <xdr:pic>
          <xdr:nvPicPr>
            <xdr:cNvPr id="17" name="Ink 16"/>
            <xdr:cNvPicPr/>
          </xdr:nvPicPr>
          <xdr:blipFill>
            <a:blip xmlns:r="http://schemas.openxmlformats.org/officeDocument/2006/relationships" r:embed="rId3"/>
            <a:stretch>
              <a:fillRect/>
            </a:stretch>
          </xdr:blipFill>
          <xdr:spPr>
            <a:xfrm>
              <a:off x="1471669" y="3246437"/>
              <a:ext cx="1368780" cy="1946121"/>
            </a:xfrm>
            <a:prstGeom prst="rect">
              <a:avLst/>
            </a:prstGeom>
          </xdr:spPr>
        </xdr:pic>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98311</xdr:colOff>
      <xdr:row>31</xdr:row>
      <xdr:rowOff>181154</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72636" cy="7384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163902</xdr:colOff>
      <xdr:row>28</xdr:row>
      <xdr:rowOff>43131</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80430" cy="6599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181153</xdr:colOff>
      <xdr:row>27</xdr:row>
      <xdr:rowOff>51758</xdr:rowOff>
    </xdr:from>
    <xdr:to>
      <xdr:col>16</xdr:col>
      <xdr:colOff>1605189</xdr:colOff>
      <xdr:row>47</xdr:row>
      <xdr:rowOff>146647</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1153" y="6512943"/>
          <a:ext cx="11361666" cy="3717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11540</xdr:colOff>
      <xdr:row>8</xdr:row>
      <xdr:rowOff>25506</xdr:rowOff>
    </xdr:from>
    <xdr:to>
      <xdr:col>0</xdr:col>
      <xdr:colOff>286580</xdr:colOff>
      <xdr:row>8</xdr:row>
      <xdr:rowOff>233946</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4" name="Ink 3"/>
            <xdr14:cNvContentPartPr/>
          </xdr14:nvContentPartPr>
          <xdr14:nvPr macro=""/>
          <xdr14:xfrm>
            <a:off x="11540" y="1647272"/>
            <a:ext cx="275040" cy="208440"/>
          </xdr14:xfrm>
        </xdr:contentPart>
      </mc:Choice>
      <mc:Fallback xmlns="">
        <xdr:pic>
          <xdr:nvPicPr>
            <xdr:cNvPr id="7" name="Ink 6"/>
            <xdr:cNvPicPr/>
          </xdr:nvPicPr>
          <xdr:blipFill>
            <a:blip xmlns:r="http://schemas.openxmlformats.org/officeDocument/2006/relationships" r:embed="rId4"/>
            <a:stretch>
              <a:fillRect/>
            </a:stretch>
          </xdr:blipFill>
          <xdr:spPr>
            <a:xfrm>
              <a:off x="6500" y="1641152"/>
              <a:ext cx="286560" cy="220320"/>
            </a:xfrm>
            <a:prstGeom prst="rect">
              <a:avLst/>
            </a:prstGeom>
          </xdr:spPr>
        </xdr:pic>
      </mc:Fallback>
    </mc:AlternateContent>
    <xdr:clientData/>
  </xdr:twoCellAnchor>
  <xdr:twoCellAnchor>
    <xdr:from>
      <xdr:col>0</xdr:col>
      <xdr:colOff>289820</xdr:colOff>
      <xdr:row>8</xdr:row>
      <xdr:rowOff>168066</xdr:rowOff>
    </xdr:from>
    <xdr:to>
      <xdr:col>7</xdr:col>
      <xdr:colOff>608787</xdr:colOff>
      <xdr:row>9</xdr:row>
      <xdr:rowOff>16207</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xdr14:cNvContentPartPr/>
          </xdr14:nvContentPartPr>
          <xdr14:nvPr macro=""/>
          <xdr14:xfrm>
            <a:off x="289820" y="1789832"/>
            <a:ext cx="4666680" cy="115560"/>
          </xdr14:xfrm>
        </xdr:contentPart>
      </mc:Choice>
      <mc:Fallback xmlns="">
        <xdr:pic>
          <xdr:nvPicPr>
            <xdr:cNvPr id="9" name="Ink 8"/>
            <xdr:cNvPicPr/>
          </xdr:nvPicPr>
          <xdr:blipFill>
            <a:blip xmlns:r="http://schemas.openxmlformats.org/officeDocument/2006/relationships" r:embed="rId6"/>
            <a:stretch>
              <a:fillRect/>
            </a:stretch>
          </xdr:blipFill>
          <xdr:spPr>
            <a:xfrm>
              <a:off x="287660" y="1784072"/>
              <a:ext cx="4672440" cy="127440"/>
            </a:xfrm>
            <a:prstGeom prst="rect">
              <a:avLst/>
            </a:prstGeom>
          </xdr:spPr>
        </xdr:pic>
      </mc:Fallback>
    </mc:AlternateContent>
    <xdr:clientData/>
  </xdr:twoCellAnchor>
  <xdr:twoCellAnchor>
    <xdr:from>
      <xdr:col>6</xdr:col>
      <xdr:colOff>349689</xdr:colOff>
      <xdr:row>7</xdr:row>
      <xdr:rowOff>201125</xdr:rowOff>
    </xdr:from>
    <xdr:to>
      <xdr:col>7</xdr:col>
      <xdr:colOff>438507</xdr:colOff>
      <xdr:row>9</xdr:row>
      <xdr:rowOff>8287</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6" name="Ink 5"/>
            <xdr14:cNvContentPartPr/>
          </xdr14:nvContentPartPr>
          <xdr14:nvPr macro=""/>
          <xdr14:xfrm>
            <a:off x="4076300" y="1555472"/>
            <a:ext cx="709920" cy="342000"/>
          </xdr14:xfrm>
        </xdr:contentPart>
      </mc:Choice>
      <mc:Fallback xmlns="">
        <xdr:pic>
          <xdr:nvPicPr>
            <xdr:cNvPr id="11" name="Ink 10"/>
            <xdr:cNvPicPr/>
          </xdr:nvPicPr>
          <xdr:blipFill>
            <a:blip xmlns:r="http://schemas.openxmlformats.org/officeDocument/2006/relationships" r:embed="rId8"/>
            <a:stretch>
              <a:fillRect/>
            </a:stretch>
          </xdr:blipFill>
          <xdr:spPr>
            <a:xfrm>
              <a:off x="4070540" y="1548632"/>
              <a:ext cx="722520" cy="354960"/>
            </a:xfrm>
            <a:prstGeom prst="rect">
              <a:avLst/>
            </a:prstGeom>
          </xdr:spPr>
        </xdr:pic>
      </mc:Fallback>
    </mc:AlternateContent>
    <xdr:clientData/>
  </xdr:twoCellAnchor>
  <xdr:twoCellAnchor>
    <xdr:from>
      <xdr:col>7</xdr:col>
      <xdr:colOff>397827</xdr:colOff>
      <xdr:row>7</xdr:row>
      <xdr:rowOff>51005</xdr:rowOff>
    </xdr:from>
    <xdr:to>
      <xdr:col>10</xdr:col>
      <xdr:colOff>436401</xdr:colOff>
      <xdr:row>9</xdr:row>
      <xdr:rowOff>61207</xdr:rowOff>
    </xdr:to>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7" name="Ink 6"/>
            <xdr14:cNvContentPartPr/>
          </xdr14:nvContentPartPr>
          <xdr14:nvPr macro=""/>
          <xdr14:xfrm>
            <a:off x="4745540" y="1405352"/>
            <a:ext cx="1901880" cy="545040"/>
          </xdr14:xfrm>
        </xdr:contentPart>
      </mc:Choice>
      <mc:Fallback xmlns="">
        <xdr:pic>
          <xdr:nvPicPr>
            <xdr:cNvPr id="17" name="Ink 16"/>
            <xdr:cNvPicPr/>
          </xdr:nvPicPr>
          <xdr:blipFill>
            <a:blip xmlns:r="http://schemas.openxmlformats.org/officeDocument/2006/relationships" r:embed="rId10"/>
            <a:stretch>
              <a:fillRect/>
            </a:stretch>
          </xdr:blipFill>
          <xdr:spPr>
            <a:xfrm>
              <a:off x="4742660" y="1399952"/>
              <a:ext cx="1912320" cy="557640"/>
            </a:xfrm>
            <a:prstGeom prst="rect">
              <a:avLst/>
            </a:prstGeom>
          </xdr:spPr>
        </xdr:pic>
      </mc:Fallback>
    </mc:AlternateContent>
    <xdr:clientData/>
  </xdr:twoCellAnchor>
  <xdr:twoCellAnchor>
    <xdr:from>
      <xdr:col>10</xdr:col>
      <xdr:colOff>386001</xdr:colOff>
      <xdr:row>8</xdr:row>
      <xdr:rowOff>188586</xdr:rowOff>
    </xdr:from>
    <xdr:to>
      <xdr:col>12</xdr:col>
      <xdr:colOff>276357</xdr:colOff>
      <xdr:row>8</xdr:row>
      <xdr:rowOff>235026</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 7"/>
            <xdr14:cNvContentPartPr/>
          </xdr14:nvContentPartPr>
          <xdr14:nvPr macro=""/>
          <xdr14:xfrm>
            <a:off x="6597020" y="1810352"/>
            <a:ext cx="1132560" cy="46440"/>
          </xdr14:xfrm>
        </xdr:contentPart>
      </mc:Choice>
      <mc:Fallback xmlns="">
        <xdr:pic>
          <xdr:nvPicPr>
            <xdr:cNvPr id="22" name="Ink 21"/>
            <xdr:cNvPicPr/>
          </xdr:nvPicPr>
          <xdr:blipFill>
            <a:blip xmlns:r="http://schemas.openxmlformats.org/officeDocument/2006/relationships" r:embed="rId12"/>
            <a:stretch>
              <a:fillRect/>
            </a:stretch>
          </xdr:blipFill>
          <xdr:spPr>
            <a:xfrm>
              <a:off x="6594860" y="1806392"/>
              <a:ext cx="1138680" cy="54720"/>
            </a:xfrm>
            <a:prstGeom prst="rect">
              <a:avLst/>
            </a:prstGeom>
          </xdr:spPr>
        </xdr:pic>
      </mc:Fallback>
    </mc:AlternateContent>
    <xdr:clientData/>
  </xdr:twoCellAnchor>
  <xdr:twoCellAnchor>
    <xdr:from>
      <xdr:col>10</xdr:col>
      <xdr:colOff>375561</xdr:colOff>
      <xdr:row>8</xdr:row>
      <xdr:rowOff>179586</xdr:rowOff>
    </xdr:from>
    <xdr:to>
      <xdr:col>10</xdr:col>
      <xdr:colOff>380601</xdr:colOff>
      <xdr:row>8</xdr:row>
      <xdr:rowOff>187146</xdr:rowOff>
    </xdr:to>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 8"/>
            <xdr14:cNvContentPartPr/>
          </xdr14:nvContentPartPr>
          <xdr14:nvPr macro=""/>
          <xdr14:xfrm>
            <a:off x="6586580" y="1801352"/>
            <a:ext cx="5040" cy="7560"/>
          </xdr14:xfrm>
        </xdr:contentPart>
      </mc:Choice>
      <mc:Fallback xmlns="">
        <xdr:pic>
          <xdr:nvPicPr>
            <xdr:cNvPr id="24" name="Ink 23"/>
            <xdr:cNvPicPr/>
          </xdr:nvPicPr>
          <xdr:blipFill>
            <a:blip xmlns:r="http://schemas.openxmlformats.org/officeDocument/2006/relationships" r:embed="rId14"/>
            <a:stretch>
              <a:fillRect/>
            </a:stretch>
          </xdr:blipFill>
          <xdr:spPr>
            <a:xfrm>
              <a:off x="6584060" y="1798472"/>
              <a:ext cx="9720" cy="12600"/>
            </a:xfrm>
            <a:prstGeom prst="rect">
              <a:avLst/>
            </a:prstGeom>
          </xdr:spPr>
        </xdr:pic>
      </mc:Fallback>
    </mc:AlternateContent>
    <xdr:clientData/>
  </xdr:twoCellAnchor>
  <xdr:twoCellAnchor>
    <xdr:from>
      <xdr:col>0</xdr:col>
      <xdr:colOff>298100</xdr:colOff>
      <xdr:row>22</xdr:row>
      <xdr:rowOff>152362</xdr:rowOff>
    </xdr:from>
    <xdr:to>
      <xdr:col>3</xdr:col>
      <xdr:colOff>159194</xdr:colOff>
      <xdr:row>23</xdr:row>
      <xdr:rowOff>233423</xdr:rowOff>
    </xdr:to>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0" name="Ink 9"/>
            <xdr14:cNvContentPartPr/>
          </xdr14:nvContentPartPr>
          <xdr14:nvPr macro=""/>
          <xdr14:xfrm>
            <a:off x="298100" y="5517992"/>
            <a:ext cx="1724400" cy="348480"/>
          </xdr14:xfrm>
        </xdr:contentPart>
      </mc:Choice>
      <mc:Fallback xmlns="">
        <xdr:pic>
          <xdr:nvPicPr>
            <xdr:cNvPr id="26" name="Ink 25"/>
            <xdr:cNvPicPr/>
          </xdr:nvPicPr>
          <xdr:blipFill>
            <a:blip xmlns:r="http://schemas.openxmlformats.org/officeDocument/2006/relationships" r:embed="rId16"/>
            <a:stretch>
              <a:fillRect/>
            </a:stretch>
          </xdr:blipFill>
          <xdr:spPr>
            <a:xfrm>
              <a:off x="291260" y="5510432"/>
              <a:ext cx="1739160" cy="362880"/>
            </a:xfrm>
            <a:prstGeom prst="rect">
              <a:avLst/>
            </a:prstGeom>
          </xdr:spPr>
        </xdr:pic>
      </mc:Fallback>
    </mc:AlternateContent>
    <xdr:clientData/>
  </xdr:twoCellAnchor>
  <xdr:twoCellAnchor>
    <xdr:from>
      <xdr:col>11</xdr:col>
      <xdr:colOff>51459</xdr:colOff>
      <xdr:row>22</xdr:row>
      <xdr:rowOff>107002</xdr:rowOff>
    </xdr:from>
    <xdr:to>
      <xdr:col>12</xdr:col>
      <xdr:colOff>245037</xdr:colOff>
      <xdr:row>23</xdr:row>
      <xdr:rowOff>179783</xdr:rowOff>
    </xdr:to>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1" name="Ink 10"/>
            <xdr14:cNvContentPartPr/>
          </xdr14:nvContentPartPr>
          <xdr14:nvPr macro=""/>
          <xdr14:xfrm>
            <a:off x="6883580" y="5472632"/>
            <a:ext cx="814680" cy="340200"/>
          </xdr14:xfrm>
        </xdr:contentPart>
      </mc:Choice>
      <mc:Fallback xmlns="">
        <xdr:pic>
          <xdr:nvPicPr>
            <xdr:cNvPr id="28" name="Ink 27"/>
            <xdr:cNvPicPr/>
          </xdr:nvPicPr>
          <xdr:blipFill>
            <a:blip xmlns:r="http://schemas.openxmlformats.org/officeDocument/2006/relationships" r:embed="rId18"/>
            <a:stretch>
              <a:fillRect/>
            </a:stretch>
          </xdr:blipFill>
          <xdr:spPr>
            <a:xfrm>
              <a:off x="6878540" y="5467592"/>
              <a:ext cx="826560" cy="350280"/>
            </a:xfrm>
            <a:prstGeom prst="rect">
              <a:avLst/>
            </a:prstGeom>
          </xdr:spPr>
        </xdr:pic>
      </mc:Fallback>
    </mc:AlternateContent>
    <xdr:clientData/>
  </xdr:twoCellAnchor>
  <xdr:twoCellAnchor>
    <xdr:from>
      <xdr:col>12</xdr:col>
      <xdr:colOff>439077</xdr:colOff>
      <xdr:row>22</xdr:row>
      <xdr:rowOff>105202</xdr:rowOff>
    </xdr:from>
    <xdr:to>
      <xdr:col>14</xdr:col>
      <xdr:colOff>95434</xdr:colOff>
      <xdr:row>23</xdr:row>
      <xdr:rowOff>199583</xdr:rowOff>
    </xdr:to>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2" name="Ink 11"/>
            <xdr14:cNvContentPartPr/>
          </xdr14:nvContentPartPr>
          <xdr14:nvPr macro=""/>
          <xdr14:xfrm>
            <a:off x="7892300" y="5470832"/>
            <a:ext cx="898560" cy="361800"/>
          </xdr14:xfrm>
        </xdr:contentPart>
      </mc:Choice>
      <mc:Fallback xmlns="">
        <xdr:pic>
          <xdr:nvPicPr>
            <xdr:cNvPr id="30" name="Ink 29"/>
            <xdr:cNvPicPr/>
          </xdr:nvPicPr>
          <xdr:blipFill>
            <a:blip xmlns:r="http://schemas.openxmlformats.org/officeDocument/2006/relationships" r:embed="rId20"/>
            <a:stretch>
              <a:fillRect/>
            </a:stretch>
          </xdr:blipFill>
          <xdr:spPr>
            <a:xfrm>
              <a:off x="7886540" y="5465432"/>
              <a:ext cx="907200" cy="373320"/>
            </a:xfrm>
            <a:prstGeom prst="rect">
              <a:avLst/>
            </a:prstGeom>
          </xdr:spPr>
        </xdr:pic>
      </mc:Fallback>
    </mc:AlternateContent>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258792</xdr:colOff>
      <xdr:row>29</xdr:row>
      <xdr:rowOff>2161</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12015" cy="5255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534837</xdr:colOff>
      <xdr:row>0</xdr:row>
      <xdr:rowOff>146649</xdr:rowOff>
    </xdr:from>
    <xdr:to>
      <xdr:col>24</xdr:col>
      <xdr:colOff>566691</xdr:colOff>
      <xdr:row>14</xdr:row>
      <xdr:rowOff>43132</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88060" y="146649"/>
          <a:ext cx="7485076" cy="2432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xdr:colOff>
      <xdr:row>1</xdr:row>
      <xdr:rowOff>0</xdr:rowOff>
    </xdr:from>
    <xdr:to>
      <xdr:col>10</xdr:col>
      <xdr:colOff>9525</xdr:colOff>
      <xdr:row>10</xdr:row>
      <xdr:rowOff>133350</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1242205" y="181155"/>
          <a:ext cx="6996920" cy="17637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t>The job costing system at Babson Framing &amp; Photo has five indirect cost pools: purchasing, material handling, machine maintenance, product inspection, and packaging.  The company is in the process of bidding on two jobs: Job B101, an order of 15 intricate personalized frames and Job C120, an order of 6 standard personalized frames.  The controller wants you to compare overhead allocated under the current simple job costing system and a newly designed activity based job costing system.</a:t>
          </a:r>
        </a:p>
        <a:p>
          <a:endParaRPr lang="en-US" sz="1200" baseline="0"/>
        </a:p>
        <a:p>
          <a:r>
            <a:rPr lang="en-US" sz="1200" baseline="0"/>
            <a:t>Total budgeted costs in each indirect cost pool and the budgeted quantity of activity driver are as follows:</a:t>
          </a:r>
        </a:p>
        <a:p>
          <a:endParaRPr lang="en-US" sz="1200" baseline="0"/>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7229475" cy="570547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0"/>
          <a:ext cx="7229475" cy="5705476"/>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pPr algn="l"/>
          <a:r>
            <a:rPr lang="en-US" sz="1100"/>
            <a:t>Lee &amp; Lorraine, operate L&amp;L Specialty</a:t>
          </a:r>
          <a:r>
            <a:rPr lang="en-US" sz="1100" baseline="0"/>
            <a:t> Foods, a retail store located in Wellesley Center.  Betty, L&amp;L's operations</a:t>
          </a:r>
        </a:p>
        <a:p>
          <a:pPr algn="l"/>
          <a:r>
            <a:rPr lang="en-US" sz="1100" baseline="0"/>
            <a:t>manager, hires you to do an activity analysis of their </a:t>
          </a:r>
          <a:r>
            <a:rPr lang="en-US" sz="1100" b="1" i="1" u="sng" baseline="0"/>
            <a:t>Selling &amp; Administrative </a:t>
          </a:r>
          <a:r>
            <a:rPr lang="en-US" sz="1100" baseline="0"/>
            <a:t>costs.  L&amp;L's </a:t>
          </a:r>
          <a:r>
            <a:rPr lang="en-US" sz="1100" b="1" i="1" u="sng" baseline="0"/>
            <a:t>selling &amp; administrative</a:t>
          </a:r>
        </a:p>
        <a:p>
          <a:pPr algn="l"/>
          <a:r>
            <a:rPr lang="en-US" sz="1100" baseline="0"/>
            <a:t>costs include costs incurred to acquire, display, and sell products as well as upkeep the store and overall management</a:t>
          </a:r>
        </a:p>
        <a:p>
          <a:pPr algn="l"/>
          <a:r>
            <a:rPr lang="en-US" sz="1100" baseline="0"/>
            <a:t>of the company.  As a result of your analysis, you identify the following five activities:</a:t>
          </a:r>
        </a:p>
        <a:p>
          <a:pPr algn="l"/>
          <a:r>
            <a:rPr lang="en-US" sz="1100" baseline="0"/>
            <a:t>1) Ordering and receiving product in the store</a:t>
          </a:r>
        </a:p>
        <a:p>
          <a:pPr algn="l"/>
          <a:r>
            <a:rPr lang="en-US" sz="1100" baseline="0"/>
            <a:t>2) Inspecting incoming receipts</a:t>
          </a:r>
        </a:p>
        <a:p>
          <a:pPr algn="l"/>
          <a:r>
            <a:rPr lang="en-US" sz="1100" baseline="0"/>
            <a:t>3) Stocking shelves and operating cash registers</a:t>
          </a:r>
        </a:p>
        <a:p>
          <a:pPr algn="l"/>
          <a:r>
            <a:rPr lang="en-US" sz="1100" baseline="0"/>
            <a:t>4) Maintaining the store</a:t>
          </a:r>
        </a:p>
        <a:p>
          <a:pPr algn="l"/>
          <a:r>
            <a:rPr lang="en-US" sz="1100" baseline="0"/>
            <a:t>5) Store Management</a:t>
          </a:r>
        </a:p>
        <a:p>
          <a:pPr algn="l"/>
          <a:endParaRPr lang="en-US" sz="1100" baseline="0"/>
        </a:p>
        <a:p>
          <a:pPr algn="l"/>
          <a:r>
            <a:rPr lang="en-US" sz="1100" baseline="0"/>
            <a:t>Lee &amp; Lorraine, each earn $80,000 plus 30% in fringe benefits.  In addition, L&amp;L has 60 full time employees, each of</a:t>
          </a:r>
        </a:p>
        <a:p>
          <a:pPr algn="l"/>
          <a:r>
            <a:rPr lang="en-US" sz="1100" baseline="0"/>
            <a:t>whom are paid to work 2,000 hours per year.  Lee spends 40% of his time supervising the 11 employees who work in</a:t>
          </a:r>
        </a:p>
        <a:p>
          <a:pPr algn="l"/>
          <a:r>
            <a:rPr lang="en-US" sz="1100" baseline="0"/>
            <a:t>ordering and receiving.  Each employee spends an average of 1,100 hours on ordering and 900 hours on receiving.</a:t>
          </a:r>
        </a:p>
        <a:p>
          <a:pPr algn="l"/>
          <a:r>
            <a:rPr lang="en-US" sz="1100" baseline="0"/>
            <a:t>The 11 employees average $60,000 each including fringe benefits.  Lee spends the remainder of his time supervising </a:t>
          </a:r>
        </a:p>
        <a:p>
          <a:pPr algn="l"/>
          <a:r>
            <a:rPr lang="en-US" sz="1100" baseline="0"/>
            <a:t>incoming inspection and human resources, a store management activity.</a:t>
          </a:r>
        </a:p>
        <a:p>
          <a:pPr algn="l"/>
          <a:endParaRPr lang="en-US" sz="1100" baseline="0"/>
        </a:p>
        <a:p>
          <a:pPr algn="l"/>
          <a:r>
            <a:rPr lang="en-US" sz="1100" baseline="0"/>
            <a:t>Lorraine spends 50% of her time supervising the 38 employees who stock shelves and operate the cash registers.</a:t>
          </a:r>
        </a:p>
        <a:p>
          <a:pPr algn="l"/>
          <a:r>
            <a:rPr lang="en-US" sz="1100" baseline="0"/>
            <a:t>These employees each spend 1,400 hours stocking shelves and 600 hours operating cash registers.  The 38 employees</a:t>
          </a:r>
        </a:p>
        <a:p>
          <a:pPr algn="l"/>
          <a:r>
            <a:rPr lang="en-US" sz="1100" baseline="0"/>
            <a:t>earn on average $50,000 each including fringe benefits.  Lorraine spends the remainder of her time supervising </a:t>
          </a:r>
        </a:p>
        <a:p>
          <a:pPr algn="l"/>
          <a:r>
            <a:rPr lang="en-US" sz="1100" baseline="0"/>
            <a:t>store maintenance and accounting and financial analysis, a store management activity.</a:t>
          </a:r>
        </a:p>
        <a:p>
          <a:pPr algn="l"/>
          <a:endParaRPr lang="en-US" sz="1100" baseline="0"/>
        </a:p>
        <a:p>
          <a:pPr algn="l"/>
          <a:r>
            <a:rPr lang="en-US" sz="1100" baseline="0"/>
            <a:t>The store's operating layout encompasses 50,000 square feet in floor space at an annual cost of $1 million.</a:t>
          </a:r>
        </a:p>
        <a:p>
          <a:pPr algn="l"/>
          <a:r>
            <a:rPr lang="en-US" sz="1100" baseline="0"/>
            <a:t>8,000 square feet of space is used for ordering and receiving; 38,000 square feet of space is used for shelving and</a:t>
          </a:r>
        </a:p>
        <a:p>
          <a:pPr algn="l"/>
          <a:r>
            <a:rPr lang="en-US" sz="1100" baseline="0"/>
            <a:t>check out; the remainder of the space is used for incoming inspection, administration, and maintenance.</a:t>
          </a:r>
        </a:p>
        <a:p>
          <a:pPr algn="l"/>
          <a:endParaRPr lang="en-US" sz="1100" baseline="0"/>
        </a:p>
        <a:p>
          <a:pPr algn="l"/>
          <a:r>
            <a:rPr lang="en-US" sz="1100" baseline="0"/>
            <a:t>A forklift truck with annual depreciation expense of $15,000 and office equipment with annual depreciation expense of </a:t>
          </a:r>
        </a:p>
        <a:p>
          <a:pPr algn="l"/>
          <a:r>
            <a:rPr lang="en-US" sz="1100" baseline="0"/>
            <a:t>$125,000 are used exclusively for the ordering and receiving activity.  Thirty hand held computers and ten cash registers are </a:t>
          </a:r>
        </a:p>
        <a:p>
          <a:pPr algn="l"/>
          <a:r>
            <a:rPr lang="en-US" sz="1100" baseline="0"/>
            <a:t>used exclusively for stocking shelves and checking out customers with annual depreciation expense $60,000 and $50,000</a:t>
          </a:r>
        </a:p>
        <a:p>
          <a:pPr algn="l"/>
          <a:r>
            <a:rPr lang="en-US" sz="1100" baseline="0"/>
            <a:t>respectively.</a:t>
          </a:r>
        </a:p>
        <a:p>
          <a:pPr algn="l"/>
          <a:endParaRPr lang="en-US" sz="1100" baseline="0"/>
        </a:p>
        <a:p>
          <a:pPr algn="l"/>
          <a:r>
            <a:rPr lang="en-US" sz="1100" baseline="0"/>
            <a:t>The annual utility bill is $120,000 for 1,500,000 kilowatt hours (KWH) of electricity.  the ordering and receiving activity uses </a:t>
          </a:r>
        </a:p>
        <a:p>
          <a:pPr algn="l"/>
          <a:r>
            <a:rPr lang="en-US" sz="1100" baseline="0"/>
            <a:t>380,000 KWH, while the stocking shelves and operating cash registers activity uses 720,000 KWH.</a:t>
          </a:r>
        </a:p>
        <a:p>
          <a:pPr algn="l"/>
          <a:endParaRPr lang="en-US" sz="1100"/>
        </a:p>
        <a:p>
          <a:endParaRPr lang="en-US" sz="1100"/>
        </a:p>
        <a:p>
          <a:endParaRPr lang="en-US" sz="1100"/>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2</xdr:row>
      <xdr:rowOff>9523</xdr:rowOff>
    </xdr:from>
    <xdr:ext cx="8201025" cy="2862632"/>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03849" y="371832"/>
          <a:ext cx="8201025" cy="286263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lang="en-US" sz="1100">
              <a:solidFill>
                <a:schemeClr val="dk1"/>
              </a:solidFill>
              <a:effectLst/>
              <a:latin typeface="+mn-lt"/>
              <a:ea typeface="+mn-ea"/>
              <a:cs typeface="+mn-cs"/>
            </a:rPr>
            <a:t>Dusseldorf-Rome-Venice (DRV) is a scooter manufacturer.  DRV has made its name very well known in western Europe and it is now looking to tap the North American market.  DRV hires a professional marketing research company and finds that a scooter will likely sell in the United States for $3,000 (i.e. that is what customers are willing to pay).  To effectively sell and market its scooter, DRV believes that it should partner with Harley-Davidson (HD) as they first enter the U.S. market.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At</a:t>
          </a:r>
          <a:r>
            <a:rPr lang="en-US" sz="1100" baseline="0">
              <a:solidFill>
                <a:schemeClr val="dk1"/>
              </a:solidFill>
              <a:effectLst/>
              <a:latin typeface="+mn-lt"/>
              <a:ea typeface="+mn-ea"/>
              <a:cs typeface="+mn-cs"/>
            </a:rPr>
            <a:t> the initial partnership discussion with HD, DRV learns HD requires a </a:t>
          </a:r>
          <a:r>
            <a:rPr lang="en-US" sz="1100">
              <a:solidFill>
                <a:schemeClr val="dk1"/>
              </a:solidFill>
              <a:effectLst/>
              <a:latin typeface="+mn-lt"/>
              <a:ea typeface="+mn-ea"/>
              <a:cs typeface="+mn-cs"/>
            </a:rPr>
            <a:t>30% gross profit for each scooter sold.  DRV's board</a:t>
          </a:r>
          <a:r>
            <a:rPr lang="en-US" sz="1100" baseline="0">
              <a:solidFill>
                <a:schemeClr val="dk1"/>
              </a:solidFill>
              <a:effectLst/>
              <a:latin typeface="+mn-lt"/>
              <a:ea typeface="+mn-ea"/>
              <a:cs typeface="+mn-cs"/>
            </a:rPr>
            <a:t> requires the scooter to achieve a target profit of 25% on sales.  </a:t>
          </a:r>
          <a:r>
            <a:rPr lang="en-US" sz="1100">
              <a:solidFill>
                <a:schemeClr val="dk1"/>
              </a:solidFill>
              <a:effectLst/>
              <a:latin typeface="+mn-lt"/>
              <a:ea typeface="+mn-ea"/>
              <a:cs typeface="+mn-cs"/>
            </a:rPr>
            <a:t>DRV projects that it will sell 20,000 scooter in 2019 when they launch the North American version of its scooter in the U.S.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DRV created a “Let’s-Make-Americans-Love-Scooter” team to develop a scooter appealing to the U.S. market.  The team estimates that it will cost $2,000,000 to fully develop the North</a:t>
          </a:r>
          <a:r>
            <a:rPr lang="en-US" sz="1100" baseline="0">
              <a:solidFill>
                <a:schemeClr val="dk1"/>
              </a:solidFill>
              <a:effectLst/>
              <a:latin typeface="+mn-lt"/>
              <a:ea typeface="+mn-ea"/>
              <a:cs typeface="+mn-cs"/>
            </a:rPr>
            <a:t> Amercian version of their scooter.  </a:t>
          </a:r>
          <a:r>
            <a:rPr lang="en-US" sz="1100">
              <a:solidFill>
                <a:schemeClr val="dk1"/>
              </a:solidFill>
              <a:effectLst/>
              <a:latin typeface="+mn-lt"/>
              <a:ea typeface="+mn-ea"/>
              <a:cs typeface="+mn-cs"/>
            </a:rPr>
            <a:t>When a newly designed scooter is ready, it will be sold to HD in a container of 50 scooters, and each container will cost $6,000 in freight charges.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sales and marketing personnel at DRV who works closely with HD will also be paid 3% commission for each unit HD sells.  The salary of management and their fringe benefits and</a:t>
          </a:r>
          <a:r>
            <a:rPr lang="en-US" sz="1100" baseline="0">
              <a:solidFill>
                <a:schemeClr val="dk1"/>
              </a:solidFill>
              <a:effectLst/>
              <a:latin typeface="+mn-lt"/>
              <a:ea typeface="+mn-ea"/>
              <a:cs typeface="+mn-cs"/>
            </a:rPr>
            <a:t> other corporate expenses allocated to the North Amercian scooter project </a:t>
          </a:r>
          <a:r>
            <a:rPr lang="en-US" sz="1100">
              <a:solidFill>
                <a:schemeClr val="dk1"/>
              </a:solidFill>
              <a:effectLst/>
              <a:latin typeface="+mn-lt"/>
              <a:ea typeface="+mn-ea"/>
              <a:cs typeface="+mn-cs"/>
            </a:rPr>
            <a:t>will be $1,500,000.</a:t>
          </a:r>
        </a:p>
        <a:p>
          <a:endParaRPr lang="en-US" sz="1100"/>
        </a:p>
      </xdr:txBody>
    </xdr:sp>
    <xdr:clientData/>
  </xdr:oneCellAnchor>
  <xdr:oneCellAnchor>
    <xdr:from>
      <xdr:col>1</xdr:col>
      <xdr:colOff>0</xdr:colOff>
      <xdr:row>2</xdr:row>
      <xdr:rowOff>9523</xdr:rowOff>
    </xdr:from>
    <xdr:ext cx="8201025" cy="2862632"/>
    <xdr:sp macro="" textlink="">
      <xdr:nvSpPr>
        <xdr:cNvPr id="3" name="TextBox 2">
          <a:extLst>
            <a:ext uri="{FF2B5EF4-FFF2-40B4-BE49-F238E27FC236}">
              <a16:creationId xmlns:a16="http://schemas.microsoft.com/office/drawing/2014/main" id="{00000000-0008-0000-0100-000002000000}"/>
            </a:ext>
          </a:extLst>
        </xdr:cNvPr>
        <xdr:cNvSpPr txBox="1"/>
      </xdr:nvSpPr>
      <xdr:spPr>
        <a:xfrm>
          <a:off x="603849" y="371832"/>
          <a:ext cx="8201025" cy="286263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lang="en-US" sz="1100">
              <a:solidFill>
                <a:schemeClr val="dk1"/>
              </a:solidFill>
              <a:effectLst/>
              <a:latin typeface="+mn-lt"/>
              <a:ea typeface="+mn-ea"/>
              <a:cs typeface="+mn-cs"/>
            </a:rPr>
            <a:t>Dusseldorf-Rome-Venice (DRV) is a scooter manufacturer.  DRV has made its name very well known in western Europe and it is now looking to tap the North American market.  DRV hires a professional marketing research company and finds that a scooter will likely sell in the United States for $3,000 (i.e. that is what customers are willing to pay).  To effectively sell and market its scooter, DRV believes that it should partner with Harley-Davidson (HD) as they first enter the U.S. market.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At</a:t>
          </a:r>
          <a:r>
            <a:rPr lang="en-US" sz="1100" baseline="0">
              <a:solidFill>
                <a:schemeClr val="dk1"/>
              </a:solidFill>
              <a:effectLst/>
              <a:latin typeface="+mn-lt"/>
              <a:ea typeface="+mn-ea"/>
              <a:cs typeface="+mn-cs"/>
            </a:rPr>
            <a:t> the initial partnership discussion with HD, DRV learns HD requires a </a:t>
          </a:r>
          <a:r>
            <a:rPr lang="en-US" sz="1100">
              <a:solidFill>
                <a:schemeClr val="dk1"/>
              </a:solidFill>
              <a:effectLst/>
              <a:latin typeface="+mn-lt"/>
              <a:ea typeface="+mn-ea"/>
              <a:cs typeface="+mn-cs"/>
            </a:rPr>
            <a:t>30% gross profit for each scooter sold.  DRV's board</a:t>
          </a:r>
          <a:r>
            <a:rPr lang="en-US" sz="1100" baseline="0">
              <a:solidFill>
                <a:schemeClr val="dk1"/>
              </a:solidFill>
              <a:effectLst/>
              <a:latin typeface="+mn-lt"/>
              <a:ea typeface="+mn-ea"/>
              <a:cs typeface="+mn-cs"/>
            </a:rPr>
            <a:t> requires the scooter to achieve a target profit of 25% on sales.  </a:t>
          </a:r>
          <a:r>
            <a:rPr lang="en-US" sz="1100">
              <a:solidFill>
                <a:schemeClr val="dk1"/>
              </a:solidFill>
              <a:effectLst/>
              <a:latin typeface="+mn-lt"/>
              <a:ea typeface="+mn-ea"/>
              <a:cs typeface="+mn-cs"/>
            </a:rPr>
            <a:t>DRV projects that it will sell 20,000 scooter in 2019 when they launch the North American version of its scooter in the U.S.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DRV created a “Let’s-Make-Americans-Love-Scooter” team to develop a scooter appealing to the U.S. market.  The team estimates that it will cost $2,000,000 to fully develop the North</a:t>
          </a:r>
          <a:r>
            <a:rPr lang="en-US" sz="1100" baseline="0">
              <a:solidFill>
                <a:schemeClr val="dk1"/>
              </a:solidFill>
              <a:effectLst/>
              <a:latin typeface="+mn-lt"/>
              <a:ea typeface="+mn-ea"/>
              <a:cs typeface="+mn-cs"/>
            </a:rPr>
            <a:t> Amercian version of their scooter.  </a:t>
          </a:r>
          <a:r>
            <a:rPr lang="en-US" sz="1100">
              <a:solidFill>
                <a:schemeClr val="dk1"/>
              </a:solidFill>
              <a:effectLst/>
              <a:latin typeface="+mn-lt"/>
              <a:ea typeface="+mn-ea"/>
              <a:cs typeface="+mn-cs"/>
            </a:rPr>
            <a:t>When a newly designed scooter is ready, it will be sold to HD in a container of 50 scooters, and each container will cost $6,000 in freight charges.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sales and marketing personnel at DRV who works closely with HD will also be paid 3% commission for each unit HD sells.  The salary of management and their fringe benefits and</a:t>
          </a:r>
          <a:r>
            <a:rPr lang="en-US" sz="1100" baseline="0">
              <a:solidFill>
                <a:schemeClr val="dk1"/>
              </a:solidFill>
              <a:effectLst/>
              <a:latin typeface="+mn-lt"/>
              <a:ea typeface="+mn-ea"/>
              <a:cs typeface="+mn-cs"/>
            </a:rPr>
            <a:t> other corporate expenses allocated to the North Amercian scooter project </a:t>
          </a:r>
          <a:r>
            <a:rPr lang="en-US" sz="1100">
              <a:solidFill>
                <a:schemeClr val="dk1"/>
              </a:solidFill>
              <a:effectLst/>
              <a:latin typeface="+mn-lt"/>
              <a:ea typeface="+mn-ea"/>
              <a:cs typeface="+mn-cs"/>
            </a:rPr>
            <a:t>will be $1,500,000.</a:t>
          </a:r>
        </a:p>
        <a:p>
          <a:endParaRPr lang="en-US" sz="1100"/>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6</xdr:col>
      <xdr:colOff>82550</xdr:colOff>
      <xdr:row>7</xdr:row>
      <xdr:rowOff>82550</xdr:rowOff>
    </xdr:from>
    <xdr:to>
      <xdr:col>6</xdr:col>
      <xdr:colOff>311150</xdr:colOff>
      <xdr:row>11</xdr:row>
      <xdr:rowOff>133350</xdr:rowOff>
    </xdr:to>
    <xdr:sp macro="" textlink="">
      <xdr:nvSpPr>
        <xdr:cNvPr id="2" name="Right Brace 1"/>
        <xdr:cNvSpPr/>
      </xdr:nvSpPr>
      <xdr:spPr>
        <a:xfrm>
          <a:off x="5706973" y="1359259"/>
          <a:ext cx="228600" cy="775419"/>
        </a:xfrm>
        <a:prstGeom prst="rightBrace">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412750</xdr:colOff>
      <xdr:row>25</xdr:row>
      <xdr:rowOff>6350</xdr:rowOff>
    </xdr:from>
    <xdr:to>
      <xdr:col>7</xdr:col>
      <xdr:colOff>438150</xdr:colOff>
      <xdr:row>28</xdr:row>
      <xdr:rowOff>196850</xdr:rowOff>
    </xdr:to>
    <xdr:cxnSp macro="">
      <xdr:nvCxnSpPr>
        <xdr:cNvPr id="3" name="Straight Arrow Connector 2"/>
        <xdr:cNvCxnSpPr/>
      </xdr:nvCxnSpPr>
      <xdr:spPr>
        <a:xfrm flipV="1">
          <a:off x="4544803" y="4837142"/>
          <a:ext cx="2138872" cy="75984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442335</xdr:colOff>
      <xdr:row>14</xdr:row>
      <xdr:rowOff>152317</xdr:rowOff>
    </xdr:from>
    <xdr:to>
      <xdr:col>14</xdr:col>
      <xdr:colOff>149082</xdr:colOff>
      <xdr:row>16</xdr:row>
      <xdr:rowOff>167309</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 3"/>
            <xdr14:cNvContentPartPr/>
          </xdr14:nvContentPartPr>
          <xdr14:nvPr macro=""/>
          <xdr14:xfrm>
            <a:off x="6693168" y="2687156"/>
            <a:ext cx="4073040" cy="373320"/>
          </xdr14:xfrm>
        </xdr:contentPart>
      </mc:Choice>
      <mc:Fallback xmlns="">
        <xdr:pic>
          <xdr:nvPicPr>
            <xdr:cNvPr id="4" name="Ink 3"/>
            <xdr:cNvPicPr/>
          </xdr:nvPicPr>
          <xdr:blipFill>
            <a:blip xmlns:r="http://schemas.openxmlformats.org/officeDocument/2006/relationships" r:embed="rId2"/>
            <a:stretch>
              <a:fillRect/>
            </a:stretch>
          </xdr:blipFill>
          <xdr:spPr>
            <a:xfrm>
              <a:off x="6690275" y="2679319"/>
              <a:ext cx="4080273" cy="387569"/>
            </a:xfrm>
            <a:prstGeom prst="rect">
              <a:avLst/>
            </a:prstGeom>
          </xdr:spPr>
        </xdr:pic>
      </mc:Fallback>
    </mc:AlternateContent>
    <xdr:clientData/>
  </xdr:twoCellAnchor>
  <xdr:twoCellAnchor>
    <xdr:from>
      <xdr:col>12</xdr:col>
      <xdr:colOff>147034</xdr:colOff>
      <xdr:row>16</xdr:row>
      <xdr:rowOff>92429</xdr:rowOff>
    </xdr:from>
    <xdr:to>
      <xdr:col>12</xdr:col>
      <xdr:colOff>211834</xdr:colOff>
      <xdr:row>16</xdr:row>
      <xdr:rowOff>123389</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5" name="Ink 4"/>
            <xdr14:cNvContentPartPr/>
          </xdr14:nvContentPartPr>
          <xdr14:nvPr macro=""/>
          <xdr14:xfrm>
            <a:off x="9516648" y="2985596"/>
            <a:ext cx="64800" cy="30960"/>
          </xdr14:xfrm>
        </xdr:contentPart>
      </mc:Choice>
      <mc:Fallback xmlns="">
        <xdr:pic>
          <xdr:nvPicPr>
            <xdr:cNvPr id="5" name="Ink 4"/>
            <xdr:cNvPicPr/>
          </xdr:nvPicPr>
          <xdr:blipFill>
            <a:blip xmlns:r="http://schemas.openxmlformats.org/officeDocument/2006/relationships" r:embed="rId4"/>
            <a:stretch>
              <a:fillRect/>
            </a:stretch>
          </xdr:blipFill>
          <xdr:spPr>
            <a:xfrm>
              <a:off x="9502968" y="2957876"/>
              <a:ext cx="94320" cy="91440"/>
            </a:xfrm>
            <a:prstGeom prst="rect">
              <a:avLst/>
            </a:prstGeom>
          </xdr:spPr>
        </xdr:pic>
      </mc:Fallback>
    </mc:AlternateContent>
    <xdr:clientData/>
  </xdr:twoCellAnchor>
  <xdr:twoCellAnchor>
    <xdr:from>
      <xdr:col>12</xdr:col>
      <xdr:colOff>73594</xdr:colOff>
      <xdr:row>16</xdr:row>
      <xdr:rowOff>114389</xdr:rowOff>
    </xdr:from>
    <xdr:to>
      <xdr:col>14</xdr:col>
      <xdr:colOff>43242</xdr:colOff>
      <xdr:row>16</xdr:row>
      <xdr:rowOff>151829</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6" name="Ink 5"/>
            <xdr14:cNvContentPartPr/>
          </xdr14:nvContentPartPr>
          <xdr14:nvPr macro=""/>
          <xdr14:xfrm>
            <a:off x="9443208" y="3007556"/>
            <a:ext cx="1217160" cy="37440"/>
          </xdr14:xfrm>
        </xdr:contentPart>
      </mc:Choice>
      <mc:Fallback xmlns="">
        <xdr:pic>
          <xdr:nvPicPr>
            <xdr:cNvPr id="6" name="Ink 5"/>
            <xdr:cNvPicPr/>
          </xdr:nvPicPr>
          <xdr:blipFill>
            <a:blip xmlns:r="http://schemas.openxmlformats.org/officeDocument/2006/relationships" r:embed="rId6"/>
            <a:stretch>
              <a:fillRect/>
            </a:stretch>
          </xdr:blipFill>
          <xdr:spPr>
            <a:xfrm>
              <a:off x="9411387" y="2912516"/>
              <a:ext cx="1302860" cy="252720"/>
            </a:xfrm>
            <a:prstGeom prst="rect">
              <a:avLst/>
            </a:prstGeom>
          </xdr:spPr>
        </xdr:pic>
      </mc:Fallback>
    </mc:AlternateContent>
    <xdr:clientData/>
  </xdr:twoCellAnchor>
  <xdr:twoCellAnchor>
    <xdr:from>
      <xdr:col>12</xdr:col>
      <xdr:colOff>171154</xdr:colOff>
      <xdr:row>17</xdr:row>
      <xdr:rowOff>59785</xdr:rowOff>
    </xdr:from>
    <xdr:to>
      <xdr:col>13</xdr:col>
      <xdr:colOff>103958</xdr:colOff>
      <xdr:row>20</xdr:row>
      <xdr:rowOff>97105</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xdr14:cNvContentPartPr/>
          </xdr14:nvContentPartPr>
          <xdr14:nvPr macro=""/>
          <xdr14:xfrm>
            <a:off x="9540768" y="3132116"/>
            <a:ext cx="556560" cy="840240"/>
          </xdr14:xfrm>
        </xdr:contentPart>
      </mc:Choice>
      <mc:Fallback xmlns="">
        <xdr:pic>
          <xdr:nvPicPr>
            <xdr:cNvPr id="7" name="Ink 6"/>
            <xdr:cNvPicPr/>
          </xdr:nvPicPr>
          <xdr:blipFill>
            <a:blip xmlns:r="http://schemas.openxmlformats.org/officeDocument/2006/relationships" r:embed="rId8"/>
            <a:stretch>
              <a:fillRect/>
            </a:stretch>
          </xdr:blipFill>
          <xdr:spPr>
            <a:xfrm>
              <a:off x="9534259" y="3128513"/>
              <a:ext cx="568856" cy="849248"/>
            </a:xfrm>
            <a:prstGeom prst="rect">
              <a:avLst/>
            </a:prstGeom>
          </xdr:spPr>
        </xdr:pic>
      </mc:Fallback>
    </mc:AlternateContent>
    <xdr:clientData/>
  </xdr:twoCellAnchor>
  <xdr:twoCellAnchor>
    <xdr:from>
      <xdr:col>14</xdr:col>
      <xdr:colOff>76722</xdr:colOff>
      <xdr:row>17</xdr:row>
      <xdr:rowOff>82825</xdr:rowOff>
    </xdr:from>
    <xdr:to>
      <xdr:col>15</xdr:col>
      <xdr:colOff>168286</xdr:colOff>
      <xdr:row>18</xdr:row>
      <xdr:rowOff>240708</xdr:rowOff>
    </xdr:to>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8" name="Ink 7"/>
            <xdr14:cNvContentPartPr/>
          </xdr14:nvContentPartPr>
          <xdr14:nvPr macro=""/>
          <xdr14:xfrm>
            <a:off x="10693848" y="3155156"/>
            <a:ext cx="715320" cy="410040"/>
          </xdr14:xfrm>
        </xdr:contentPart>
      </mc:Choice>
      <mc:Fallback xmlns="">
        <xdr:pic>
          <xdr:nvPicPr>
            <xdr:cNvPr id="8" name="Ink 7"/>
            <xdr:cNvPicPr/>
          </xdr:nvPicPr>
          <xdr:blipFill>
            <a:blip xmlns:r="http://schemas.openxmlformats.org/officeDocument/2006/relationships" r:embed="rId10"/>
            <a:stretch>
              <a:fillRect/>
            </a:stretch>
          </xdr:blipFill>
          <xdr:spPr>
            <a:xfrm>
              <a:off x="10686261" y="3146108"/>
              <a:ext cx="727965" cy="422345"/>
            </a:xfrm>
            <a:prstGeom prst="rect">
              <a:avLst/>
            </a:prstGeom>
          </xdr:spPr>
        </xdr:pic>
      </mc:Fallback>
    </mc:AlternateContent>
    <xdr:clientData/>
  </xdr:twoCellAnchor>
  <xdr:twoCellAnchor>
    <xdr:from>
      <xdr:col>9</xdr:col>
      <xdr:colOff>517823</xdr:colOff>
      <xdr:row>16</xdr:row>
      <xdr:rowOff>150029</xdr:rowOff>
    </xdr:from>
    <xdr:to>
      <xdr:col>12</xdr:col>
      <xdr:colOff>29314</xdr:colOff>
      <xdr:row>17</xdr:row>
      <xdr:rowOff>30985</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9" name="Ink 8"/>
            <xdr14:cNvContentPartPr/>
          </xdr14:nvContentPartPr>
          <xdr14:nvPr macro=""/>
          <xdr14:xfrm>
            <a:off x="8016168" y="3043196"/>
            <a:ext cx="1382760" cy="60120"/>
          </xdr14:xfrm>
        </xdr:contentPart>
      </mc:Choice>
      <mc:Fallback xmlns="">
        <xdr:pic>
          <xdr:nvPicPr>
            <xdr:cNvPr id="9" name="Ink 8"/>
            <xdr:cNvPicPr/>
          </xdr:nvPicPr>
          <xdr:blipFill>
            <a:blip xmlns:r="http://schemas.openxmlformats.org/officeDocument/2006/relationships" r:embed="rId12"/>
            <a:stretch>
              <a:fillRect/>
            </a:stretch>
          </xdr:blipFill>
          <xdr:spPr>
            <a:xfrm>
              <a:off x="7953167" y="2930601"/>
              <a:ext cx="1508400" cy="297820"/>
            </a:xfrm>
            <a:prstGeom prst="rect">
              <a:avLst/>
            </a:prstGeom>
          </xdr:spPr>
        </xdr:pic>
      </mc:Fallback>
    </mc:AlternateContent>
    <xdr:clientData/>
  </xdr:twoCellAnchor>
  <xdr:twoCellAnchor>
    <xdr:from>
      <xdr:col>7</xdr:col>
      <xdr:colOff>382215</xdr:colOff>
      <xdr:row>16</xdr:row>
      <xdr:rowOff>167309</xdr:rowOff>
    </xdr:from>
    <xdr:to>
      <xdr:col>9</xdr:col>
      <xdr:colOff>440783</xdr:colOff>
      <xdr:row>17</xdr:row>
      <xdr:rowOff>37465</xdr:rowOff>
    </xdr:to>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 9"/>
            <xdr14:cNvContentPartPr/>
          </xdr14:nvContentPartPr>
          <xdr14:nvPr macro=""/>
          <xdr14:xfrm>
            <a:off x="6633048" y="3060476"/>
            <a:ext cx="1306080" cy="49320"/>
          </xdr14:xfrm>
        </xdr:contentPart>
      </mc:Choice>
      <mc:Fallback xmlns="">
        <xdr:pic>
          <xdr:nvPicPr>
            <xdr:cNvPr id="10" name="Ink 9"/>
            <xdr:cNvPicPr/>
          </xdr:nvPicPr>
          <xdr:blipFill>
            <a:blip xmlns:r="http://schemas.openxmlformats.org/officeDocument/2006/relationships" r:embed="rId14"/>
            <a:stretch>
              <a:fillRect/>
            </a:stretch>
          </xdr:blipFill>
          <xdr:spPr>
            <a:xfrm>
              <a:off x="6593645" y="2956663"/>
              <a:ext cx="1402599" cy="259361"/>
            </a:xfrm>
            <a:prstGeom prst="rect">
              <a:avLst/>
            </a:prstGeom>
          </xdr:spPr>
        </xdr:pic>
      </mc:Fallback>
    </mc:AlternateContent>
    <xdr:clientData/>
  </xdr:twoCellAnchor>
  <xdr:twoCellAnchor>
    <xdr:from>
      <xdr:col>7</xdr:col>
      <xdr:colOff>412455</xdr:colOff>
      <xdr:row>16</xdr:row>
      <xdr:rowOff>20789</xdr:rowOff>
    </xdr:from>
    <xdr:to>
      <xdr:col>14</xdr:col>
      <xdr:colOff>84282</xdr:colOff>
      <xdr:row>20</xdr:row>
      <xdr:rowOff>183145</xdr:rowOff>
    </xdr:to>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 10"/>
            <xdr14:cNvContentPartPr/>
          </xdr14:nvContentPartPr>
          <xdr14:nvPr macro=""/>
          <xdr14:xfrm>
            <a:off x="6663288" y="2913956"/>
            <a:ext cx="4038120" cy="1144440"/>
          </xdr14:xfrm>
        </xdr:contentPart>
      </mc:Choice>
      <mc:Fallback xmlns="">
        <xdr:pic>
          <xdr:nvPicPr>
            <xdr:cNvPr id="11" name="Ink 10"/>
            <xdr:cNvPicPr/>
          </xdr:nvPicPr>
          <xdr:blipFill>
            <a:blip xmlns:r="http://schemas.openxmlformats.org/officeDocument/2006/relationships" r:embed="rId16"/>
            <a:stretch>
              <a:fillRect/>
            </a:stretch>
          </xdr:blipFill>
          <xdr:spPr>
            <a:xfrm>
              <a:off x="6660395" y="2905327"/>
              <a:ext cx="4049694" cy="1158822"/>
            </a:xfrm>
            <a:prstGeom prst="rect">
              <a:avLst/>
            </a:prstGeom>
          </xdr:spPr>
        </xdr:pic>
      </mc:Fallback>
    </mc:AlternateContent>
    <xdr:clientData/>
  </xdr:twoCellAnchor>
  <xdr:twoCellAnchor>
    <xdr:from>
      <xdr:col>7</xdr:col>
      <xdr:colOff>109335</xdr:colOff>
      <xdr:row>17</xdr:row>
      <xdr:rowOff>129625</xdr:rowOff>
    </xdr:from>
    <xdr:to>
      <xdr:col>9</xdr:col>
      <xdr:colOff>384623</xdr:colOff>
      <xdr:row>22</xdr:row>
      <xdr:rowOff>119754</xdr:rowOff>
    </xdr:to>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2" name="Ink 11"/>
            <xdr14:cNvContentPartPr/>
          </xdr14:nvContentPartPr>
          <xdr14:nvPr macro=""/>
          <xdr14:xfrm>
            <a:off x="6360168" y="3201956"/>
            <a:ext cx="1522800" cy="1177920"/>
          </xdr14:xfrm>
        </xdr:contentPart>
      </mc:Choice>
      <mc:Fallback xmlns="">
        <xdr:pic>
          <xdr:nvPicPr>
            <xdr:cNvPr id="12" name="Ink 11"/>
            <xdr:cNvPicPr/>
          </xdr:nvPicPr>
          <xdr:blipFill>
            <a:blip xmlns:r="http://schemas.openxmlformats.org/officeDocument/2006/relationships" r:embed="rId18"/>
            <a:stretch>
              <a:fillRect/>
            </a:stretch>
          </xdr:blipFill>
          <xdr:spPr>
            <a:xfrm>
              <a:off x="6352220" y="3193995"/>
              <a:ext cx="1536529" cy="1193481"/>
            </a:xfrm>
            <a:prstGeom prst="rect">
              <a:avLst/>
            </a:prstGeom>
          </xdr:spPr>
        </xdr:pic>
      </mc:Fallback>
    </mc:AlternateContent>
    <xdr:clientData/>
  </xdr:twoCellAnchor>
  <xdr:twoCellAnchor>
    <xdr:from>
      <xdr:col>7</xdr:col>
      <xdr:colOff>615135</xdr:colOff>
      <xdr:row>17</xdr:row>
      <xdr:rowOff>168505</xdr:rowOff>
    </xdr:from>
    <xdr:to>
      <xdr:col>8</xdr:col>
      <xdr:colOff>81739</xdr:colOff>
      <xdr:row>18</xdr:row>
      <xdr:rowOff>172668</xdr:rowOff>
    </xdr:to>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3" name="Ink 12"/>
            <xdr14:cNvContentPartPr/>
          </xdr14:nvContentPartPr>
          <xdr14:nvPr macro=""/>
          <xdr14:xfrm>
            <a:off x="6865968" y="3240836"/>
            <a:ext cx="90360" cy="256320"/>
          </xdr14:xfrm>
        </xdr:contentPart>
      </mc:Choice>
      <mc:Fallback xmlns="">
        <xdr:pic>
          <xdr:nvPicPr>
            <xdr:cNvPr id="13" name="Ink 12"/>
            <xdr:cNvPicPr/>
          </xdr:nvPicPr>
          <xdr:blipFill>
            <a:blip xmlns:r="http://schemas.openxmlformats.org/officeDocument/2006/relationships" r:embed="rId20"/>
            <a:stretch>
              <a:fillRect/>
            </a:stretch>
          </xdr:blipFill>
          <xdr:spPr>
            <a:xfrm>
              <a:off x="6858561" y="3232849"/>
              <a:ext cx="100729" cy="271205"/>
            </a:xfrm>
            <a:prstGeom prst="rect">
              <a:avLst/>
            </a:prstGeom>
          </xdr:spPr>
        </xdr:pic>
      </mc:Fallback>
    </mc:AlternateContent>
    <xdr:clientData/>
  </xdr:twoCellAnchor>
  <xdr:twoCellAnchor>
    <xdr:from>
      <xdr:col>8</xdr:col>
      <xdr:colOff>62659</xdr:colOff>
      <xdr:row>17</xdr:row>
      <xdr:rowOff>171025</xdr:rowOff>
    </xdr:from>
    <xdr:to>
      <xdr:col>8</xdr:col>
      <xdr:colOff>488899</xdr:colOff>
      <xdr:row>20</xdr:row>
      <xdr:rowOff>81625</xdr:rowOff>
    </xdr:to>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4" name="Ink 13"/>
            <xdr14:cNvContentPartPr/>
          </xdr14:nvContentPartPr>
          <xdr14:nvPr macro=""/>
          <xdr14:xfrm>
            <a:off x="6937248" y="3243356"/>
            <a:ext cx="426240" cy="713520"/>
          </xdr14:xfrm>
        </xdr:contentPart>
      </mc:Choice>
      <mc:Fallback xmlns="">
        <xdr:pic>
          <xdr:nvPicPr>
            <xdr:cNvPr id="14" name="Ink 13"/>
            <xdr:cNvPicPr/>
          </xdr:nvPicPr>
          <xdr:blipFill>
            <a:blip xmlns:r="http://schemas.openxmlformats.org/officeDocument/2006/relationships" r:embed="rId22"/>
            <a:stretch>
              <a:fillRect/>
            </a:stretch>
          </xdr:blipFill>
          <xdr:spPr>
            <a:xfrm>
              <a:off x="6931488" y="3235428"/>
              <a:ext cx="439560" cy="726133"/>
            </a:xfrm>
            <a:prstGeom prst="rect">
              <a:avLst/>
            </a:prstGeom>
          </xdr:spPr>
        </xdr:pic>
      </mc:Fallback>
    </mc:AlternateContent>
    <xdr:clientData/>
  </xdr:twoCellAnchor>
  <xdr:twoCellAnchor>
    <xdr:from>
      <xdr:col>0</xdr:col>
      <xdr:colOff>41448</xdr:colOff>
      <xdr:row>7</xdr:row>
      <xdr:rowOff>35897</xdr:rowOff>
    </xdr:from>
    <xdr:to>
      <xdr:col>0</xdr:col>
      <xdr:colOff>99768</xdr:colOff>
      <xdr:row>11</xdr:row>
      <xdr:rowOff>160921</xdr:rowOff>
    </xdr:to>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5" name="Ink 14"/>
            <xdr14:cNvContentPartPr/>
          </xdr14:nvContentPartPr>
          <xdr14:nvPr macro=""/>
          <xdr14:xfrm>
            <a:off x="41448" y="1303316"/>
            <a:ext cx="58320" cy="841680"/>
          </xdr14:xfrm>
        </xdr:contentPart>
      </mc:Choice>
      <mc:Fallback xmlns="">
        <xdr:pic>
          <xdr:nvPicPr>
            <xdr:cNvPr id="15" name="Ink 14"/>
            <xdr:cNvPicPr/>
          </xdr:nvPicPr>
          <xdr:blipFill>
            <a:blip xmlns:r="http://schemas.openxmlformats.org/officeDocument/2006/relationships" r:embed="rId24"/>
            <a:stretch>
              <a:fillRect/>
            </a:stretch>
          </xdr:blipFill>
          <xdr:spPr>
            <a:xfrm>
              <a:off x="-4992" y="1215225"/>
              <a:ext cx="145080" cy="1023568"/>
            </a:xfrm>
            <a:prstGeom prst="rect">
              <a:avLst/>
            </a:prstGeom>
          </xdr:spPr>
        </xdr:pic>
      </mc:Fallback>
    </mc:AlternateContent>
    <xdr:clientData/>
  </xdr:twoCellAnchor>
  <xdr:twoCellAnchor>
    <xdr:from>
      <xdr:col>7</xdr:col>
      <xdr:colOff>258375</xdr:colOff>
      <xdr:row>18</xdr:row>
      <xdr:rowOff>251868</xdr:rowOff>
    </xdr:from>
    <xdr:to>
      <xdr:col>9</xdr:col>
      <xdr:colOff>266543</xdr:colOff>
      <xdr:row>21</xdr:row>
      <xdr:rowOff>163150</xdr:rowOff>
    </xdr:to>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16" name="Ink 15"/>
            <xdr14:cNvContentPartPr/>
          </xdr14:nvContentPartPr>
          <xdr14:nvPr macro=""/>
          <xdr14:xfrm>
            <a:off x="6509208" y="3576356"/>
            <a:ext cx="1255680" cy="654480"/>
          </xdr14:xfrm>
        </xdr:contentPart>
      </mc:Choice>
      <mc:Fallback xmlns="">
        <xdr:pic>
          <xdr:nvPicPr>
            <xdr:cNvPr id="16" name="Ink 15"/>
            <xdr:cNvPicPr/>
          </xdr:nvPicPr>
          <xdr:blipFill>
            <a:blip xmlns:r="http://schemas.openxmlformats.org/officeDocument/2006/relationships" r:embed="rId26"/>
            <a:stretch>
              <a:fillRect/>
            </a:stretch>
          </xdr:blipFill>
          <xdr:spPr>
            <a:xfrm>
              <a:off x="6503423" y="3570223"/>
              <a:ext cx="1265442" cy="666386"/>
            </a:xfrm>
            <a:prstGeom prst="rect">
              <a:avLst/>
            </a:prstGeom>
          </xdr:spPr>
        </xdr:pic>
      </mc:Fallback>
    </mc:AlternateContent>
    <xdr:clientData/>
  </xdr:twoCellAnchor>
  <xdr:twoCellAnchor>
    <xdr:from>
      <xdr:col>7</xdr:col>
      <xdr:colOff>125175</xdr:colOff>
      <xdr:row>22</xdr:row>
      <xdr:rowOff>119394</xdr:rowOff>
    </xdr:from>
    <xdr:to>
      <xdr:col>10</xdr:col>
      <xdr:colOff>2066</xdr:colOff>
      <xdr:row>23</xdr:row>
      <xdr:rowOff>172790</xdr:rowOff>
    </xdr:to>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7" name="Ink 16"/>
            <xdr14:cNvContentPartPr/>
          </xdr14:nvContentPartPr>
          <xdr14:nvPr macro=""/>
          <xdr14:xfrm>
            <a:off x="6376008" y="4379516"/>
            <a:ext cx="1748160" cy="232560"/>
          </xdr14:xfrm>
        </xdr:contentPart>
      </mc:Choice>
      <mc:Fallback xmlns="">
        <xdr:pic>
          <xdr:nvPicPr>
            <xdr:cNvPr id="17" name="Ink 16"/>
            <xdr:cNvPicPr/>
          </xdr:nvPicPr>
          <xdr:blipFill>
            <a:blip xmlns:r="http://schemas.openxmlformats.org/officeDocument/2006/relationships" r:embed="rId28"/>
            <a:stretch>
              <a:fillRect/>
            </a:stretch>
          </xdr:blipFill>
          <xdr:spPr>
            <a:xfrm>
              <a:off x="6368775" y="4372382"/>
              <a:ext cx="1758648" cy="244331"/>
            </a:xfrm>
            <a:prstGeom prst="rect">
              <a:avLst/>
            </a:prstGeom>
          </xdr:spPr>
        </xdr:pic>
      </mc:Fallback>
    </mc:AlternateContent>
    <xdr:clientData/>
  </xdr:twoCellAnchor>
  <xdr:twoCellAnchor>
    <xdr:from>
      <xdr:col>12</xdr:col>
      <xdr:colOff>152794</xdr:colOff>
      <xdr:row>18</xdr:row>
      <xdr:rowOff>156468</xdr:rowOff>
    </xdr:from>
    <xdr:to>
      <xdr:col>15</xdr:col>
      <xdr:colOff>33286</xdr:colOff>
      <xdr:row>25</xdr:row>
      <xdr:rowOff>21511</xdr:rowOff>
    </xdr:to>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18" name="Ink 17"/>
            <xdr14:cNvContentPartPr/>
          </xdr14:nvContentPartPr>
          <xdr14:nvPr macro=""/>
          <xdr14:xfrm>
            <a:off x="9522408" y="3480956"/>
            <a:ext cx="1751760" cy="1351440"/>
          </xdr14:xfrm>
        </xdr:contentPart>
      </mc:Choice>
      <mc:Fallback xmlns="">
        <xdr:pic>
          <xdr:nvPicPr>
            <xdr:cNvPr id="18" name="Ink 17"/>
            <xdr:cNvPicPr/>
          </xdr:nvPicPr>
          <xdr:blipFill>
            <a:blip xmlns:r="http://schemas.openxmlformats.org/officeDocument/2006/relationships" r:embed="rId30"/>
            <a:stretch>
              <a:fillRect/>
            </a:stretch>
          </xdr:blipFill>
          <xdr:spPr>
            <a:xfrm>
              <a:off x="9519515" y="3474825"/>
              <a:ext cx="1762971" cy="1361539"/>
            </a:xfrm>
            <a:prstGeom prst="rect">
              <a:avLst/>
            </a:prstGeom>
          </xdr:spPr>
        </xdr:pic>
      </mc:Fallback>
    </mc:AlternateContent>
    <xdr:clientData/>
  </xdr:twoCellAnchor>
  <xdr:twoCellAnchor>
    <xdr:from>
      <xdr:col>8</xdr:col>
      <xdr:colOff>193339</xdr:colOff>
      <xdr:row>25</xdr:row>
      <xdr:rowOff>35191</xdr:rowOff>
    </xdr:from>
    <xdr:to>
      <xdr:col>14</xdr:col>
      <xdr:colOff>320082</xdr:colOff>
      <xdr:row>26</xdr:row>
      <xdr:rowOff>108435</xdr:rowOff>
    </xdr:to>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19" name="Ink 18"/>
            <xdr14:cNvContentPartPr/>
          </xdr14:nvContentPartPr>
          <xdr14:nvPr macro=""/>
          <xdr14:xfrm>
            <a:off x="7067928" y="4846076"/>
            <a:ext cx="3869280" cy="265680"/>
          </xdr14:xfrm>
        </xdr:contentPart>
      </mc:Choice>
      <mc:Fallback xmlns="">
        <xdr:pic>
          <xdr:nvPicPr>
            <xdr:cNvPr id="19" name="Ink 18"/>
            <xdr:cNvPicPr/>
          </xdr:nvPicPr>
          <xdr:blipFill>
            <a:blip xmlns:r="http://schemas.openxmlformats.org/officeDocument/2006/relationships" r:embed="rId32"/>
            <a:stretch>
              <a:fillRect/>
            </a:stretch>
          </xdr:blipFill>
          <xdr:spPr>
            <a:xfrm>
              <a:off x="7061421" y="4839897"/>
              <a:ext cx="3881209" cy="282035"/>
            </a:xfrm>
            <a:prstGeom prst="rect">
              <a:avLst/>
            </a:prstGeom>
          </xdr:spPr>
        </xdr:pic>
      </mc:Fallback>
    </mc:AlternateContent>
    <xdr:clientData/>
  </xdr:twoCellAnchor>
  <xdr:twoCellAnchor>
    <xdr:from>
      <xdr:col>14</xdr:col>
      <xdr:colOff>234762</xdr:colOff>
      <xdr:row>25</xdr:row>
      <xdr:rowOff>96391</xdr:rowOff>
    </xdr:from>
    <xdr:to>
      <xdr:col>14</xdr:col>
      <xdr:colOff>249522</xdr:colOff>
      <xdr:row>25</xdr:row>
      <xdr:rowOff>117631</xdr:rowOff>
    </xdr:to>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0" name="Ink 19"/>
            <xdr14:cNvContentPartPr/>
          </xdr14:nvContentPartPr>
          <xdr14:nvPr macro=""/>
          <xdr14:xfrm>
            <a:off x="10851888" y="4907276"/>
            <a:ext cx="14760" cy="21240"/>
          </xdr14:xfrm>
        </xdr:contentPart>
      </mc:Choice>
      <mc:Fallback xmlns="">
        <xdr:pic>
          <xdr:nvPicPr>
            <xdr:cNvPr id="20" name="Ink 19"/>
            <xdr:cNvPicPr/>
          </xdr:nvPicPr>
          <xdr:blipFill>
            <a:blip xmlns:r="http://schemas.openxmlformats.org/officeDocument/2006/relationships" r:embed="rId34"/>
            <a:stretch>
              <a:fillRect/>
            </a:stretch>
          </xdr:blipFill>
          <xdr:spPr>
            <a:xfrm>
              <a:off x="10848648" y="4905116"/>
              <a:ext cx="20160" cy="26640"/>
            </a:xfrm>
            <a:prstGeom prst="rect">
              <a:avLst/>
            </a:prstGeom>
          </xdr:spPr>
        </xdr:pic>
      </mc:Fallback>
    </mc:AlternateContent>
    <xdr:clientData/>
  </xdr:twoCellAnchor>
  <xdr:twoCellAnchor>
    <xdr:from>
      <xdr:col>8</xdr:col>
      <xdr:colOff>94339</xdr:colOff>
      <xdr:row>25</xdr:row>
      <xdr:rowOff>139591</xdr:rowOff>
    </xdr:from>
    <xdr:to>
      <xdr:col>8</xdr:col>
      <xdr:colOff>339859</xdr:colOff>
      <xdr:row>26</xdr:row>
      <xdr:rowOff>146955</xdr:rowOff>
    </xdr:to>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1" name="Ink 20"/>
            <xdr14:cNvContentPartPr/>
          </xdr14:nvContentPartPr>
          <xdr14:nvPr macro=""/>
          <xdr14:xfrm>
            <a:off x="6968928" y="4950476"/>
            <a:ext cx="245520" cy="199800"/>
          </xdr14:xfrm>
        </xdr:contentPart>
      </mc:Choice>
      <mc:Fallback xmlns="">
        <xdr:pic>
          <xdr:nvPicPr>
            <xdr:cNvPr id="21" name="Ink 20"/>
            <xdr:cNvPicPr/>
          </xdr:nvPicPr>
          <xdr:blipFill>
            <a:blip xmlns:r="http://schemas.openxmlformats.org/officeDocument/2006/relationships" r:embed="rId36"/>
            <a:stretch>
              <a:fillRect/>
            </a:stretch>
          </xdr:blipFill>
          <xdr:spPr>
            <a:xfrm>
              <a:off x="6961008" y="4946101"/>
              <a:ext cx="260280" cy="211832"/>
            </a:xfrm>
            <a:prstGeom prst="rect">
              <a:avLst/>
            </a:prstGeom>
          </xdr:spPr>
        </xdr:pic>
      </mc:Fallback>
    </mc:AlternateContent>
    <xdr:clientData/>
  </xdr:twoCellAnchor>
  <xdr:twoCellAnchor>
    <xdr:from>
      <xdr:col>0</xdr:col>
      <xdr:colOff>21648</xdr:colOff>
      <xdr:row>12</xdr:row>
      <xdr:rowOff>44037</xdr:rowOff>
    </xdr:from>
    <xdr:to>
      <xdr:col>0</xdr:col>
      <xdr:colOff>1775208</xdr:colOff>
      <xdr:row>12</xdr:row>
      <xdr:rowOff>100557</xdr:rowOff>
    </xdr:to>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23" name="Ink 22"/>
            <xdr14:cNvContentPartPr/>
          </xdr14:nvContentPartPr>
          <xdr14:nvPr macro=""/>
          <xdr14:xfrm>
            <a:off x="21648" y="2207276"/>
            <a:ext cx="1753560" cy="56520"/>
          </xdr14:xfrm>
        </xdr:contentPart>
      </mc:Choice>
      <mc:Fallback xmlns="">
        <xdr:pic>
          <xdr:nvPicPr>
            <xdr:cNvPr id="23" name="Ink 22"/>
            <xdr:cNvPicPr/>
          </xdr:nvPicPr>
          <xdr:blipFill>
            <a:blip xmlns:r="http://schemas.openxmlformats.org/officeDocument/2006/relationships" r:embed="rId38"/>
            <a:stretch>
              <a:fillRect/>
            </a:stretch>
          </xdr:blipFill>
          <xdr:spPr>
            <a:xfrm>
              <a:off x="-20832" y="2126636"/>
              <a:ext cx="1828800" cy="242280"/>
            </a:xfrm>
            <a:prstGeom prst="rect">
              <a:avLst/>
            </a:prstGeom>
          </xdr:spPr>
        </xdr:pic>
      </mc:Fallback>
    </mc:AlternateContent>
    <xdr:clientData/>
  </xdr:twoCellAnchor>
</xdr:wsDr>
</file>

<file path=xl/drawings/drawing13.xml><?xml version="1.0" encoding="utf-8"?>
<xdr:wsDr xmlns:xdr="http://schemas.openxmlformats.org/drawingml/2006/spreadsheetDrawing" xmlns:a="http://schemas.openxmlformats.org/drawingml/2006/main">
  <xdr:twoCellAnchor>
    <xdr:from>
      <xdr:col>3</xdr:col>
      <xdr:colOff>724868</xdr:colOff>
      <xdr:row>25</xdr:row>
      <xdr:rowOff>137770</xdr:rowOff>
    </xdr:from>
    <xdr:to>
      <xdr:col>3</xdr:col>
      <xdr:colOff>848348</xdr:colOff>
      <xdr:row>28</xdr:row>
      <xdr:rowOff>155493</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xdr14:cNvContentPartPr/>
          </xdr14:nvContentPartPr>
          <xdr14:nvPr macro=""/>
          <xdr14:xfrm>
            <a:off x="5843208" y="4630694"/>
            <a:ext cx="123480" cy="528120"/>
          </xdr14:xfrm>
        </xdr:contentPart>
      </mc:Choice>
      <mc:Fallback xmlns="">
        <xdr:pic>
          <xdr:nvPicPr>
            <xdr:cNvPr id="3" name="Ink 2"/>
            <xdr:cNvPicPr/>
          </xdr:nvPicPr>
          <xdr:blipFill>
            <a:blip xmlns:r="http://schemas.openxmlformats.org/officeDocument/2006/relationships" r:embed="rId2"/>
            <a:stretch>
              <a:fillRect/>
            </a:stretch>
          </xdr:blipFill>
          <xdr:spPr>
            <a:xfrm>
              <a:off x="5836368" y="4626432"/>
              <a:ext cx="137160" cy="539130"/>
            </a:xfrm>
            <a:prstGeom prst="rect">
              <a:avLst/>
            </a:prstGeom>
          </xdr:spPr>
        </xdr:pic>
      </mc:Fallback>
    </mc:AlternateContent>
    <xdr:clientData/>
  </xdr:twoCellAnchor>
  <xdr:twoCellAnchor>
    <xdr:from>
      <xdr:col>4</xdr:col>
      <xdr:colOff>778090</xdr:colOff>
      <xdr:row>25</xdr:row>
      <xdr:rowOff>179890</xdr:rowOff>
    </xdr:from>
    <xdr:to>
      <xdr:col>5</xdr:col>
      <xdr:colOff>52990</xdr:colOff>
      <xdr:row>29</xdr:row>
      <xdr:rowOff>4936</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xdr14:cNvContentPartPr/>
          </xdr14:nvContentPartPr>
          <xdr14:nvPr macro=""/>
          <xdr14:xfrm>
            <a:off x="6773448" y="4672814"/>
            <a:ext cx="151920" cy="515160"/>
          </xdr14:xfrm>
        </xdr:contentPart>
      </mc:Choice>
      <mc:Fallback xmlns="">
        <xdr:pic>
          <xdr:nvPicPr>
            <xdr:cNvPr id="5" name="Ink 4"/>
            <xdr:cNvPicPr/>
          </xdr:nvPicPr>
          <xdr:blipFill>
            <a:blip xmlns:r="http://schemas.openxmlformats.org/officeDocument/2006/relationships" r:embed="rId4"/>
            <a:stretch>
              <a:fillRect/>
            </a:stretch>
          </xdr:blipFill>
          <xdr:spPr>
            <a:xfrm>
              <a:off x="6768099" y="4667141"/>
              <a:ext cx="162619" cy="527215"/>
            </a:xfrm>
            <a:prstGeom prst="rect">
              <a:avLst/>
            </a:prstGeom>
          </xdr:spPr>
        </xdr:pic>
      </mc:Fallback>
    </mc:AlternateContent>
    <xdr:clientData/>
  </xdr:twoCellAnchor>
  <xdr:twoCellAnchor>
    <xdr:from>
      <xdr:col>3</xdr:col>
      <xdr:colOff>451268</xdr:colOff>
      <xdr:row>38</xdr:row>
      <xdr:rowOff>5380</xdr:rowOff>
    </xdr:from>
    <xdr:to>
      <xdr:col>4</xdr:col>
      <xdr:colOff>88330</xdr:colOff>
      <xdr:row>38</xdr:row>
      <xdr:rowOff>148300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4" name="Ink 3"/>
            <xdr14:cNvContentPartPr/>
          </xdr14:nvContentPartPr>
          <xdr14:nvPr macro=""/>
          <xdr14:xfrm>
            <a:off x="5569608" y="6841814"/>
            <a:ext cx="514080" cy="142920"/>
          </xdr14:xfrm>
        </xdr:contentPart>
      </mc:Choice>
      <mc:Fallback xmlns="">
        <xdr:pic>
          <xdr:nvPicPr>
            <xdr:cNvPr id="9" name="Ink 8"/>
            <xdr:cNvPicPr/>
          </xdr:nvPicPr>
          <xdr:blipFill>
            <a:blip xmlns:r="http://schemas.openxmlformats.org/officeDocument/2006/relationships" r:embed="rId6"/>
            <a:stretch>
              <a:fillRect/>
            </a:stretch>
          </xdr:blipFill>
          <xdr:spPr>
            <a:xfrm>
              <a:off x="5564223" y="6835334"/>
              <a:ext cx="525568" cy="154440"/>
            </a:xfrm>
            <a:prstGeom prst="rect">
              <a:avLst/>
            </a:prstGeom>
          </xdr:spPr>
        </xdr:pic>
      </mc:Fallback>
    </mc:AlternateContent>
    <xdr:clientData/>
  </xdr:twoCellAnchor>
  <xdr:twoCellAnchor>
    <xdr:from>
      <xdr:col>5</xdr:col>
      <xdr:colOff>693430</xdr:colOff>
      <xdr:row>26</xdr:row>
      <xdr:rowOff>60304</xdr:rowOff>
    </xdr:from>
    <xdr:to>
      <xdr:col>5</xdr:col>
      <xdr:colOff>819430</xdr:colOff>
      <xdr:row>28</xdr:row>
      <xdr:rowOff>170613</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5" name="Ink 4"/>
            <xdr14:cNvContentPartPr/>
          </xdr14:nvContentPartPr>
          <xdr14:nvPr macro=""/>
          <xdr14:xfrm>
            <a:off x="7565808" y="4740134"/>
            <a:ext cx="126000" cy="433800"/>
          </xdr14:xfrm>
        </xdr:contentPart>
      </mc:Choice>
      <mc:Fallback xmlns="">
        <xdr:pic>
          <xdr:nvPicPr>
            <xdr:cNvPr id="11" name="Ink 10"/>
            <xdr:cNvPicPr/>
          </xdr:nvPicPr>
          <xdr:blipFill>
            <a:blip xmlns:r="http://schemas.openxmlformats.org/officeDocument/2006/relationships" r:embed="rId8"/>
            <a:stretch>
              <a:fillRect/>
            </a:stretch>
          </xdr:blipFill>
          <xdr:spPr>
            <a:xfrm>
              <a:off x="7557888" y="4733028"/>
              <a:ext cx="141840" cy="448722"/>
            </a:xfrm>
            <a:prstGeom prst="rect">
              <a:avLst/>
            </a:prstGeom>
          </xdr:spPr>
        </xdr:pic>
      </mc:Fallback>
    </mc:AlternateContent>
    <xdr:clientData/>
  </xdr:twoCellAnchor>
  <xdr:twoCellAnchor>
    <xdr:from>
      <xdr:col>4</xdr:col>
      <xdr:colOff>384970</xdr:colOff>
      <xdr:row>37</xdr:row>
      <xdr:rowOff>173926</xdr:rowOff>
    </xdr:from>
    <xdr:to>
      <xdr:col>5</xdr:col>
      <xdr:colOff>78190</xdr:colOff>
      <xdr:row>38</xdr:row>
      <xdr:rowOff>166660</xdr:rowOff>
    </xdr:to>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 5"/>
            <xdr14:cNvContentPartPr/>
          </xdr14:nvContentPartPr>
          <xdr14:nvPr macro=""/>
          <xdr14:xfrm>
            <a:off x="6380328" y="6823454"/>
            <a:ext cx="570240" cy="179640"/>
          </xdr14:xfrm>
        </xdr:contentPart>
      </mc:Choice>
      <mc:Fallback xmlns="">
        <xdr:pic>
          <xdr:nvPicPr>
            <xdr:cNvPr id="12" name="Ink 11"/>
            <xdr:cNvPicPr/>
          </xdr:nvPicPr>
          <xdr:blipFill>
            <a:blip xmlns:r="http://schemas.openxmlformats.org/officeDocument/2006/relationships" r:embed="rId10"/>
            <a:stretch>
              <a:fillRect/>
            </a:stretch>
          </xdr:blipFill>
          <xdr:spPr>
            <a:xfrm>
              <a:off x="6375660" y="6819168"/>
              <a:ext cx="581372" cy="188211"/>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7T23:52:26.689"/>
    </inkml:context>
    <inkml:brush xml:id="br0">
      <inkml:brushProperty name="width" value="0.05153" units="cm"/>
      <inkml:brushProperty name="height" value="0.05153" units="cm"/>
      <inkml:brushProperty name="color" value="#ED1C24"/>
    </inkml:brush>
  </inkml:definitions>
  <inkml:trace contextRef="#ctx0" brushRef="#br0">164 3 145 0,'-3'-3'158'16,"1"3"2"-16,-3 0 2 15,5 3-21-15,0 2-50 16,0-5-16-16,0 1-18 15,0 1-10-15,0-2-10 16,2 3 1-16,-2 4 3 0,0-6-2 16,0 8-1-16,3 1-3 15,2 2-12-15,5 6-4 16,4-2-8-16,0 2-2 16,-6 6-5-16,-6-2-1 15,10 1-1-15,-2 2 0 16,8 2-1-16,-1 2-1 15,-10 0-3-15,4 4 0 16,5 5 9-16,-5 1 0 0,-14-9-6 16,3 5 1-16,3 2-1 15,-2-3 2-15,0-1 1 16,1-1-6-16,2 2-2 16,1-1 5-16,-4-2 0 15,-4 0 0-15,6 0 0 16,5 3 1-16,-6-5-1 15,-2 1 0-15,1 3 1 16,1-2-1-16,-1 0 0 16,-5 2 1-16,4-4-1 15,0-2 0-15,-10-2 0 16,5-6 1-16,-3 5 0 16,-1 0 0-16,2 1-1 15,-7-1 2-15,-8-4 0 16,11 5 0-16,-12-3 0 0,-1-4 0 15,-1 4-2-15,10-6 1 16,4 0-1-16,-6-2 1 16,6-2-1-16,3-2 0 15,1-4 0-15,7-4-1 16,-3-1-12-16,3 0-8 16,-2-1-15-16,2 0 1 15,-7-5 18-15,7-5 5 16,0-6 8-16,3 1 0 0,1-1 2 15,-2 1 0-15,-2 5 2 16,3 4 2-16,-3 6 4 16,0 0 3-16,0 0 7 15,0-2 10-15,-3 3 7 16,3-1-11-16,-10 4-21 16,4 4 0-16,-2 1 5 15,0 1 2-15,-1 4-5 16,2 2-2-16,-1 3 0 15,-2 0 0-15,1 1-1 16,4-4 1-16,-3 2-1 16,1-2 0-16,3-2 0 15,1-2 0-15,1-3 0 16,-2 0-1-16,4-4 0 0,0-1 0 16,0-4-1-16,1 0 0 15,-1 0 0-15,3 0 0 16,4 0 3-16,1 0 1 15,6-5 3-15,1-3 4 16,2 1 7-16,2 0-3 16,5-1-12-16,5-6-1 15,14-8-249-15</inkml:trace>
</inkml:ink>
</file>

<file path=xl/ink/ink2.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7T23:52:26.690"/>
    </inkml:context>
    <inkml:brush xml:id="br0">
      <inkml:brushProperty name="width" value="0.05153" units="cm"/>
      <inkml:brushProperty name="height" value="0.05153" units="cm"/>
      <inkml:brushProperty name="color" value="#ED1C24"/>
    </inkml:brush>
  </inkml:definitions>
  <inkml:trace contextRef="#ctx0" brushRef="#br0">45 0 269 0,'2'1'114'0,"-2"-1"-150"16,5 2 25-16,-10-2 19 0,-1 0 33 15,10 0 108-15,-4-2 30 16,-3 1-18-16,6 2-33 16,-3-1-55-16,0 0-17 15,0 2-25-15,-12 3-7 16,7-1-6-16,5 4-5 16,-2 4 0-16,-2 4 12 0,9 5 26 15,4 2-4-15,7 1-21 16,-3 3-4-16,8 5-5 15,-2-3 1-15,4 5 11 16,4-3 2-16,-10 1-12 16,4 5-7-16,4 4-7 15,-4-2-1-15,-3 4-2 16,-6-3-2-16,3-6 1 16,2 4-1-16,-2-2 1 15,-3-1 1-15,-7 4-3 16,2-2 0-16,-4 7 0 15,-3 4-2-15,0 7-10 16,-4-6-3-16,-18-17 10 16,10 10 3-16,5 12-1 15,-6-10 0-15,-3-9-3 0,4-6 0 16,-8 1-5-16,-2-2 3 16,0 0 5-16,7 2-4 15,1-3-5-15,1-3 2 16,-7 1 0-16,4 0 3 15,5-3 8-15,-4-5-2 16,3-3-2-16,0 0 0 16,9-6-8-16,-5-4-13 0,8-4-32 15,0-2-13-15,0 2-2 16,-16-5 8-16,9-14 31 16,3-1 7-16,1-5-28 15,-3-5-9-15,-3 2 13 16,4 4 20-16,4 14 31 15,-1 1 3-15,1 6 1 16,1 1 12-16,0 4 23 16,3-2-3-16,-2 1 0 15,0 3 10-15,0 7 6 16,1 2-13-16,2 1-21 16,-7 5-7-16,3 2-5 15,9 0-1-15,-9-3-3 16,-9 2 0-16,10-7-2 15,8 1-2-15,5-8 2 16,8 0 9-16,5-7 22 0,-2-6-1 16,13-7-15-16,8-1-5 15,-3-3-5-15,3 3-3 16,2-3-5-16,3-4-22 16,-1-3-269-16</inkml:trace>
</inkml:ink>
</file>

<file path=xl/ink/ink3.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7T23:52:26.692"/>
    </inkml:context>
    <inkml:brush xml:id="br0">
      <inkml:brushProperty name="width" value="0.05153" units="cm"/>
      <inkml:brushProperty name="height" value="0.05153" units="cm"/>
      <inkml:brushProperty name="color" value="#ED1C24"/>
    </inkml:brush>
  </inkml:definitions>
  <inkml:trace contextRef="#ctx0" brushRef="#br0">99 0 660 0,'0'0'378'15,"2"1"-335"-15,-2 1-53 16,0 0 7-16,0 1-9 15,-3-3-7-15,2 0 11 16,1 0 11-16,0 0 19 16,0 0 10-16,0 0-15 15,0-2-16-15,0 1-3 0,0-1 2 16,0 2 1-16,0 0 3 16,0 0 7-16,0 0 11 15,0 0 26-15,0-2 9 16,0 2 6-16,-1-1 1 15,1 1-16-15,0 0-16 16,0 0-24-16,0 0-5 0,0 9-4 16,1 5 0-16,0 5 6 15,2 2 4-15,-2 0 7 16,3 2 6-16,5 10 5 16,3-1 0-16,11 6 1 15,1 1 3-15,-2 0-4 16,2 3-5-16,2 2-12 15,-5 2-4-15,-3-2-3 16,-3 1-1-16,-2-3-1 16,-5 0 1-16,-3-5-2 15,0 1 0-15,4-2 1 16,0 4 0-16,-9-5-1 16,-9-3 0-16,-3-1-1 15,6 0-3-15,-12 2-4 16,-2-3-1-16,6-8-3 15,-1-4-1-15,-2-5 3 0,3 0 1 16,1-4-2-16,-2 2 4 16,-1-1 7-16,-4 1-2 15,-1-2 0-15,4 1 0 16,3 1 1-16,4-1 0 16,3 0 1-16,-4-5 0 15,6 0 1-15,-4-1-2 0,4-3-8 16,5-1-9-16,3 0-19 15,-3 0-9-15,-3-1 4 16,6-1 19-16,-3-7 20 16,-5 1 1-16,4 2 2 15,4 2 0-15,-3 1 3 16,3 1 2-16,-3 2 10 16,0 0 11-16,0 0 27 15,-3 0 6-15,3 0-11 16,0 0-11-16,0 0-26 15,-2 0-6-15,-7 5-6 16,1 3-2-16,1 4 1 16,0 4 1-16,0 2 1 15,-1-1-1-15,2 3 1 16,3-3 0-16,-1-11-3 16,4 2-1-16,4-1 2 0,-4-6 0 15,-1-2 2-15,5 2 3 16,8 4 1-16,-1-2 0 15,1-10-2-15,7-2 0 16,-3 3 2-16,-2-3 0 16,-2 1-2-16,7 0-1 15,13 1-2-15,4 0 2 0,-5 7-1 16,1-1-4-16,0-4-127 16,-4 1-381-16</inkml:trace>
</inkml:ink>
</file>

<file path=xl/ink/ink4.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4-27T14:58:31.054"/>
    </inkml:context>
    <inkml:brush xml:id="br0">
      <inkml:brushProperty name="width" value="0.05153" units="cm"/>
      <inkml:brushProperty name="height" value="0.05153" units="cm"/>
      <inkml:brushProperty name="color" value="#ED1C24"/>
    </inkml:brush>
  </inkml:definitions>
  <inkml:traceGroup>
    <inkml:annotationXML>
      <emma:emma xmlns:emma="http://www.w3.org/2003/04/emma" version="1.0">
        <emma:interpretation id="{BF358407-021D-4DF7-B399-24533A59D48E}" emma:medium="tactile" emma:mode="ink">
          <msink:context xmlns:msink="http://schemas.microsoft.com/ink/2010/main" type="writingRegion" rotatedBoundingBox="527,935 4217,935 4217,2048 527,2048"/>
        </emma:interpretation>
      </emma:emma>
    </inkml:annotationXML>
    <inkml:traceGroup>
      <inkml:annotationXML>
        <emma:emma xmlns:emma="http://www.w3.org/2003/04/emma" version="1.0">
          <emma:interpretation id="{8768C6F5-6809-483F-9A97-2253F63FCD5D}" emma:medium="tactile" emma:mode="ink">
            <msink:context xmlns:msink="http://schemas.microsoft.com/ink/2010/main" type="paragraph" rotatedBoundingBox="527,935 4217,935 4217,2048 527,2048" alignmentLevel="1"/>
          </emma:interpretation>
        </emma:emma>
      </inkml:annotationXML>
      <inkml:traceGroup>
        <inkml:annotationXML>
          <emma:emma xmlns:emma="http://www.w3.org/2003/04/emma" version="1.0">
            <emma:interpretation id="{F89FFE80-34BC-478B-A1AD-C95DF9035F13}" emma:medium="tactile" emma:mode="ink">
              <msink:context xmlns:msink="http://schemas.microsoft.com/ink/2010/main" type="line" rotatedBoundingBox="527,935 4217,935 4217,2048 527,2048"/>
            </emma:interpretation>
          </emma:emma>
        </inkml:annotationXML>
        <inkml:traceGroup>
          <inkml:annotationXML>
            <emma:emma xmlns:emma="http://www.w3.org/2003/04/emma" version="1.0">
              <emma:interpretation id="{89B3A8C5-FBE5-47C5-BB64-16AE778E7D5E}" emma:medium="tactile" emma:mode="ink">
                <msink:context xmlns:msink="http://schemas.microsoft.com/ink/2010/main" type="inkWord" rotatedBoundingBox="527,935 4217,935 4217,2048 527,2048"/>
              </emma:interpretation>
              <emma:one-of disjunction-type="recognition" id="oneOf0">
                <emma:interpretation id="interp0" emma:lang="" emma:confidence="0.5">
                  <emma:literal>.</emma:literal>
                </emma:interpretation>
                <emma:interpretation id="interp1" emma:lang="" emma:confidence="0">
                  <emma:literal>-</emma:literal>
                </emma:interpretation>
                <emma:interpretation id="interp2" emma:lang="" emma:confidence="0">
                  <emma:literal>)</emma:literal>
                </emma:interpretation>
                <emma:interpretation id="interp3" emma:lang="" emma:confidence="0">
                  <emma:literal>9</emma:literal>
                </emma:interpretation>
                <emma:interpretation id="interp4" emma:lang="" emma:confidence="0">
                  <emma:literal>(</emma:literal>
                </emma:interpretation>
              </emma:one-of>
            </emma:emma>
          </inkml:annotationXML>
          <inkml:trace contextRef="#ctx0" brushRef="#br0">15 758 737 0,'-2'0'86'0,"2"-1"-10"16,-3-1-75-16,3 2 1 15,5 0 8-15,-10 0 1 16,3-1 2-16,0 1 5 16,-2 2 14-16,4-4-5 15,1-1-25-15,-2 4-7 16,0 1-5-16,0-1 4 15,7 3 7-15,3 1 0 0,-1 2-1 16,4 1-1-16,8 0 1 16,-4 0 1-16,10-5 0 15,-2 3 1-15,1-1 0 16,7-3 0-16,-8 2-1 16,1 5 0-16,4-4-1 15,-1 3 1-15,6-1-1 16,6-2-1-16,-4 3 1 15,10 5 0-15,2-2 0 16,1-5 0-16,10 1 0 16,-7-1 1-16,-6-1-1 15,1-4 1-15,0 0 0 16,2 3 2-16,6 1 2 16,-2-2 0-16,7 4 1 15,1 2 2-15,5-5 0 0,-6 2-1 16,-6-1 0-16,-1 1 1 15,5-1 0-15,6-2 1 16,5-3-2-16,2 0-2 16,-2-4-1-16,-2 0 0 15,-7-1-1-15,0-1 0 16,2-1-1-16,6 1 1 0,4-1 1 16,2-2-1-16,-5-2 0 15,2 2 0-15,-8 0 0 16,1-1-1-16,10-5 0 15,-1-3 0-15,2-1-1 16,-8 1-1-16,4 3 1 16,-7-2 0-16,-3 1 0 15,6 0 0-15,4-4 0 16,9 3 1-16,-15 1-1 16,-21 1 0-16,9 1 1 15,-2 2 0-15,-10 1-1 16,4-1 1-16,1 0 0 15,-1-3 0-15,-3-3-1 16,5 0 1-16,-10-1 0 16,-17-1 0-16,4 2 0 15,3 1 3-15,-17 0 1 0,-7 0 1 16,4 0 2-16,-2-1 2 16,-10-1 13-16,-3-1-2 15,-1-5-19-15,-4-4 0 16,-7-2-1-16,-5-1 1 15,1 2 1-15,-3 4-2 16,-14 1-2-16,4 2-1 16,-5 5-8-16,-5 3-2 0,-2 1 4 15,-3-1 4-15,-3 5 6 16,-3-2 1-16,-6 2 0 16,2 1 3-16,-12 2 2 15,-2 1 1-15,14 1 1 16,-4 0-3-16,-3 3-3 15,-7-2-1-15,0-1 1 16,5 1 0-16,-3-2-1 16,3 1 1-16,-1 1-2 15,3 1 0-15,-5 2-2 16,-9 1-1-16,-1 1 0 16,1 1 0-16,10 3-2 15,2 0 1-15,-12 1 0 16,6 0 0-16,-6-2-1 15,-1 1 0-15,17 1 1 0,2 0 0 16,0 2 1-16,-3 3 0 16,-4 3 0-16,3 1-1 15,5 4-1-15,-3 1 1 16,11 1-1-16,4 1 1 16,0-4 1-16,-4 2-1 15,1-1 0-15,4-4 0 16,2 0 0-16,2 1 0 0,10-2-1 15,5-3 0-15,3 4 1 16,-4 1 0-16,11 0 1 16,-1-1 1-16,-5-2 1 15,1-1-1-15,-2 3 1 16,4 3 0-16,5-7-1 16,7-2 0-16,4-1-1 15,-4 0 0-15,1 1-3 16,8-2 1-16,4 1-1 15,-5 1 0-15,4-1-1 16,2 3 1-16,1 1-1 16,8 0 1-16,-3 1 1 15,0 2-1-15,10 2 2 16,-2 3-1-16,12 4 1 16,0 1 0-16,-1 3 1 0,0 2-2 15,2-4 2-15,3-1 0 16,7 8 0-16,-4-2 1 15,1-5 0-15,8 2-1 16,5 3 1-16,1-2-1 16,9-4 0-16,-6 1 1 15,5-4 0-15,-1-3 0 16,4-3 1-16,6 1 1 16,8-2 0-16,-3-1 0 0,7-4-1 15,-1 1-1-15,-1-4 1 16,4-2-1-16,7-1 0 15,5-2 0-15,-4-6 0 16,-1-2 2-16,-2-3 2 16,4-3-1-16,9-4 0 15,-1-1 0-15,4-2 0 16,-3-2 0-16,-12-3-1 16,5 1 1-16,5-5 1 15,-2-2 0-15,-3 1 1 16,-9-7 0-16,1-1-1 15,5-1-1-15,-3-6-3 16,-7 3 0-16,-14 0 0 16,-1 5 0-16,-16 1 0 15,-3 1-1-15,-6 3-9 0,-4 2 0 16,-12 3 10-16,-7 0 0 16,-10 3 5-16,-5-2 4 15,-10-1 1-15,-5 0-5 16,-12-2-3-16,-8 3-1 15,-3-1-1-15,-4 1 0 16,-3 5 1-16,-6-3 2 0,-14 1-2 16,4 3-2-16,-15 2-9 15,-11 3-4-15,4 2 5 16,5 1 3-16,-14 3 3 16,-9-1 0-16,-9 2-1 15,6 4-2-15,8 1-6 16,-5 1 1-16,-14 2 1 15,7 2 0-15,6 0-5 16,1 2-3-16,-6 2-2 16,-4 0 1-16,2 1 2 15,1 2 4-15,19 2 9 16,-12-1 1-16,-6 1 3 16,12 2 0-16,15 6 0 15,-1 1-1-15,8-1 1 16,2 0-1-16,0 4 0 15,7 1 1-15,8-2 0 0,2 2-2 16,14 4-1-16,5 2 0 16,8 4-4-16,3-1 0 15,4 5-1-15,6 0 0 16,9 3 1-16,3 0 0 16,3 5 2-16,5-1-1 15,12-2 0-15,5-2 1 16,7-3 0-16,4 0-1 0,10-4 1 15,11-3 1-15,13-3 2 16,11-2 2-16,3-5 1 16,-12-1 0-16,10-3 0 15,13-2 0-15,5-4-2 16,3-3 1-16,10-3-1 16,-5-4 1-16,3-2 2 15,14 0 0-15,-3-2-1 16,-2 0 0-16,-7-4-1 15,0-3 0-15,12-1 3 16,-5-2 0-16,-12-6 2 16,6-2 0-16,5-3 1 15,-9-6 1-15,-13-3-1 16,2-5 1-16,-4-7 2 16,-1 6 0-16,-7 2 0 0,-16-5-2 15,-12-6-4-15,2 2 0 16,-15 2 0-16,1 3 2 15,-16 3 10-15,-5 1 6 16,-11 3-5-16,-3-3-1 16,-10 1 4-16,-10 2 0 15,-10-4-6-15,-9 2-3 0,-8 0 7 16,-5 0 7-16,-3 4 11 16,-6 4-1-16,-16 2-14 15,1-3-9-15,-22 7-8 16,-14 4-2-16,4 5-1 15,0 4-1 1,-13 4-1-16,-9 3-1 0,-3 4-1 16,6 1-1-16,-8 5-2 15,-8 2-3-15,3 6-6 16,-1 5-5-16,-9 16-29 16,-10 8-31-16,-2 18-107 15,-4 12-126-15</inkml:trace>
        </inkml:traceGroup>
      </inkml:traceGroup>
    </inkml:traceGroup>
  </inkml:traceGroup>
</inkml:ink>
</file>

<file path=xl/ink/ink5.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4-27T14:52:19.865"/>
    </inkml:context>
    <inkml:brush xml:id="br0">
      <inkml:brushProperty name="width" value="0.05153" units="cm"/>
      <inkml:brushProperty name="height" value="0.05153" units="cm"/>
      <inkml:brushProperty name="color" value="#ED1C24"/>
    </inkml:brush>
    <inkml:brush xml:id="br1">
      <inkml:brushProperty name="width" value="0.05153" units="cm"/>
      <inkml:brushProperty name="height" value="0.05153" units="cm"/>
      <inkml:brushProperty name="color" value="#177D36"/>
    </inkml:brush>
  </inkml:definitions>
  <inkml:traceGroup>
    <inkml:annotationXML>
      <emma:emma xmlns:emma="http://www.w3.org/2003/04/emma" version="1.0">
        <emma:interpretation id="{6C55F4D4-6689-4BAE-B5E2-7078126B1A83}" emma:medium="tactile" emma:mode="ink">
          <msink:context xmlns:msink="http://schemas.microsoft.com/ink/2010/main" type="writingRegion" rotatedBoundingBox="7892,9080 7331,14464 3701,14086 4262,8702"/>
        </emma:interpretation>
      </emma:emma>
    </inkml:annotationXML>
    <inkml:traceGroup>
      <inkml:annotationXML>
        <emma:emma xmlns:emma="http://www.w3.org/2003/04/emma" version="1.0">
          <emma:interpretation id="{C7C171F8-8EDA-4DB2-A4B1-D17B88464C27}" emma:medium="tactile" emma:mode="ink">
            <msink:context xmlns:msink="http://schemas.microsoft.com/ink/2010/main" type="paragraph" rotatedBoundingBox="7892,9080 7331,14464 5637,14288 6198,8904" alignmentLevel="1"/>
          </emma:interpretation>
        </emma:emma>
      </inkml:annotationXML>
      <inkml:traceGroup>
        <inkml:annotationXML>
          <emma:emma xmlns:emma="http://www.w3.org/2003/04/emma" version="1.0">
            <emma:interpretation id="{B802466C-6C15-46D0-B2BE-5023F0745EB2}" emma:medium="tactile" emma:mode="ink">
              <msink:context xmlns:msink="http://schemas.microsoft.com/ink/2010/main" type="line" rotatedBoundingBox="7892,9080 7331,14464 5637,14288 6198,8904"/>
            </emma:interpretation>
          </emma:emma>
        </inkml:annotationXML>
        <inkml:traceGroup>
          <inkml:annotationXML>
            <emma:emma xmlns:emma="http://www.w3.org/2003/04/emma" version="1.0">
              <emma:interpretation id="{23650562-6171-43A5-BF35-CA3CE18E7D2C}" emma:medium="tactile" emma:mode="ink">
                <msink:context xmlns:msink="http://schemas.microsoft.com/ink/2010/main" type="inkWord" rotatedBoundingBox="7892,9080 7595,11933 5901,11756 6198,8904"/>
              </emma:interpretation>
            </emma:emma>
          </inkml:annotationXML>
          <inkml:trace contextRef="#ctx0" brushRef="#br0">-393-219 184 0,'-8'0'179'0,"3"-2"-69"16,1 3-13-16,0 1 51 15,-4-2 13-15,5 3-25 16,6-3-27-16,-1-2-59 15,0 3-26-15,-2-1-30 16,4 0 1-16,7 3 9 16,7-2 1-16,5-3 1 15,6-1 0-15,4-3 0 0,7-2 3 16,-8 3 11-16,-2-3 5 16,12-3 0-16,13 1-4 15,5-3-9-15,-11-5-1 16,1 1-2-16,3 4-1 15,-4-2-1-15,0 1-2 16,1 2-2-16,2 1-1 16,6-2-1-16,-4 3 0 0,-8 1 1 15,-3-1-1-15,-1 1 0 16,4 1 0-16,-4 0 0 16,1 0 0-16,-1 1 0 15,5 1 0-15,-9 1-1 16,3 1 1-16,-18 3 0 15,-8 1 0-15,0 1-1 16,-2 1 1-16,2 2-1 16,2 1-2-16,-9 4 0 15,1 0 2-15,-3 4-1 16,-2 1 0-16,1 6 1 16,6 4 1-16,-7 4-1 15,0 1 0-15,-2 2 0 16,-1 5 0-16,3 5 0 15,-4-2-1-15,-2-3 0 0,-1-2-1 16,3-7-2-16,1-8-1 16,5-4 1-16,-4-3 0 15,-2-7 3-15,0-3-1 16,0-2 3-16,0 0 2 16,-2 0-4-16,-6-2-8 15,-5-6 0-15,-1-3 6 16,2-2 8-16,3 0 9 0,-1-6 5 15,1-1-6-15,3 0-8 16,2 3-1-16,2 7 3 16,-5 0 9-16,-1 5 20 15,3 5-3-15,5 0-23 16,2 0-11-16,-2 0-16 16,3 4 1-16,7 6 13 15,-5 1 1-15,5 0 1 16,3 0 0-16,1 3 0 15,1-4 1-15,-1-1 1 16,-3 1-1-16,5-3 0 16,5-2 1-16,-8-2 0 15,0 0 2-15,-2-3 1 16,0-1 1-16,-3-1 8 16,1 0 5-16,-3-1 0 15,0-1-3-15,3-2-1 0,3-2 1 16,-1-7-3-16,6-4-2 15,4-4-6-15,3 2-3 16,2 3-5-16,-1-4-20 16,-4 2-253-16</inkml:trace>
          <inkml:trace contextRef="#ctx0" brushRef="#br0" timeOffset="-4853.2524">706 2 351 0,'0'0'124'0,"2"-1"-20"15,-2 0-48-15,0 2 23 16,0-1 59-16,0-1-18 16,-8-2-81-16,-1 1-13 0,0-1-2 15,-7 1 0-15,-4 1-1 16,-1 2-1-16,-3 4 0 15,-6 1 4-15,3 2 7 16,-1 1 0-16,-4 1-7 16,0 0-5-16,-1-3-3 15,-4 0-4-15,-3-1-6 16,1 0 0-16,9-3-4 16,0 1-1-16,2 2-1 15,3-2-1-15,7 4-1 16,-1-1-1-16,0-2-1 15,0 4 0-15,5 2-1 16,0 0 0-16,-1 1 1 16,-1 2-2-16,3 7 0 15,0 4 0-15,5 9-2 16,0 3 2-16,-2 9 0 0,6 3 1 16,1 3 0-16,4 1-2 15,-4 3-4-15,3 2-2 16,2-3 3-16,-10-2 3 15,8 4 3-15,9-1 2 16,-8 3-1-16,0 7 1 16,3 0-1-16,0 1 1 15,2-4 0-15,-6-2 0 0,6-6 0 16,-2-5 1-16,0-3-1 16,4 2 0-16,-3-2 0 15,-6-3 1-15,2 1-1 16,5-3 0-16,-4 0 1 15,-2-1 0-15,2-2-1 16,0 2 1-16,-2-2 1 16,0 0-1-16,4 2-2 15,-2-7 0-15,5-2 0 16,-1 3-1-16,1-1 1 16,-1-4 1-16,-2-2 0 15,-2 0 0-15,0-3-1 16,0 0 1-16,3 2 0 15,-6-1 1-15,2-4 0 16,4-2-1-16,-3-4 0 0,2-3 1 16,-2-6-1-16,0-3-1 15,2-1-7-15,5 0-3 16,2-4 2-16,-3-1 5 16,9-3 2-16,3 0 1 15,5-3 0-15,6-1 1 16,4 1-1-16,3-2 0 15,10 0 0-15,2 1 0 0,-3 1 1 16,-13 0 0-16,-1-1-18 16,5 1-50-16,-4-3-122 15,-6-2-85-15</inkml:trace>
        </inkml:traceGroup>
        <inkml:traceGroup>
          <inkml:annotationXML>
            <emma:emma xmlns:emma="http://www.w3.org/2003/04/emma" version="1.0">
              <emma:interpretation id="{A41684FE-110D-42C9-8FC2-2CE52F49A084}" emma:medium="tactile" emma:mode="ink">
                <msink:context xmlns:msink="http://schemas.microsoft.com/ink/2010/main" type="inkWord" rotatedBoundingBox="7428,12311 7205,14451 6472,14375 6695,12234"/>
              </emma:interpretation>
            </emma:emma>
          </inkml:annotationXML>
          <inkml:trace contextRef="#ctx0" brushRef="#br1" timeOffset="3476.1536">670 2717 805 0,'-7'-2'124'0,"0"0"-48"15,-1-2-56-15,-3 0-19 16,-3 2-9-16,-7 0 3 0,-4-2 13 16,0 1 18-16,-4 2 39 15,-6-1-7-15,-3 2-42 16,3 3-9-16,-11 1-2 15,3 3 5-15,9 5 10 16,3-2 3-16,0-3 11 16,2 2 9-16,8 0 3 15,1-2-4-15,3-3-15 16,-2-1-7-16,12 0-12 16,3 3-3-16,-4-2-1 15,4 1-5-15,-2 11-5 16,6 3 1-16,-2 9 2 15,-4 1 2-15,6 7-1 16,2 5 0-16,-2 3 2 16,-2 2 0-16,0 5 0 15,2 2-1-15,-2 13 0 0,2 3 0 16,-5 0 1-16,4 3-1 16,-2-2 0-16,-5-1 1 15,1-1 1-15,-7-1-1 16,7-4 2-16,-1 0-1 15,-2-6 0-15,10-2-1 16,-6-1 0-16,-4-3 0 16,1 1 0-16,3 1 0 0,-2-4 0 15,-7-3 0-15,5-6 2 16,3-4-1-16,1-5-1 16,2-2 0-16,1-2 0 15,1 1 0-15,-1-3-1 16,6-1 0-16,0-2 0 15,1-4 1-15,2 1 0 16,-2-4 0-16,-2-1 0 16,5 6 0-16,-1-3 0 15,-4-2-2-15,4-1 1 16,1 5 0-16,5 0 2 16,1-4 1-16,-7 2-2 15,0-3 1-15,-4-4 1 16,0-1-1-16,4-1 0 0,3-1 1 15,1-4 0-15,-4 0 0 16,11 0 5-16,8-3 6 16,4 1 5-16,-2 0-5 15,4-1-6-15,6 1-1 16,4-2-3-16,0 1 1 16,14-1-2-16,0 0 0 15,-12 0-2-15,-3 3-1 0,-3 0-31 16,-3 0-25-16,-2 1-118 15,-4-3-183-15</inkml:trace>
        </inkml:traceGroup>
      </inkml:traceGroup>
    </inkml:traceGroup>
    <inkml:traceGroup>
      <inkml:annotationXML>
        <emma:emma xmlns:emma="http://www.w3.org/2003/04/emma" version="1.0">
          <emma:interpretation id="{E7CF1834-DD76-4F62-AF2D-3D4243ED6554}" emma:medium="tactile" emma:mode="ink">
            <msink:context xmlns:msink="http://schemas.microsoft.com/ink/2010/main" type="paragraph" rotatedBoundingBox="6303,9052 6232,13733 4054,13700 4125,9019" alignmentLevel="1"/>
          </emma:interpretation>
        </emma:emma>
      </inkml:annotationXML>
      <inkml:traceGroup>
        <inkml:annotationXML>
          <emma:emma xmlns:emma="http://www.w3.org/2003/04/emma" version="1.0">
            <emma:interpretation id="{B78F7659-6002-43E8-8287-AE67E02B9B20}" emma:medium="tactile" emma:mode="ink">
              <msink:context xmlns:msink="http://schemas.microsoft.com/ink/2010/main" type="line" rotatedBoundingBox="6303,9052 6232,13733 4054,13700 4125,9019"/>
            </emma:interpretation>
          </emma:emma>
        </inkml:annotationXML>
        <inkml:traceGroup>
          <inkml:annotationXML>
            <emma:emma xmlns:emma="http://www.w3.org/2003/04/emma" version="1.0">
              <emma:interpretation id="{8961EF1E-BDE3-441A-A77A-0D0703549178}" emma:medium="tactile" emma:mode="ink">
                <msink:context xmlns:msink="http://schemas.microsoft.com/ink/2010/main" type="inkWord" rotatedBoundingBox="6173,9050 6163,9755 4936,9736 4946,9032"/>
              </emma:interpretation>
              <emma:one-of disjunction-type="recognition" id="oneOf0">
                <emma:interpretation id="interp0" emma:lang="" emma:confidence="1">
                  <emma:literal/>
                </emma:interpretation>
              </emma:one-of>
            </emma:emma>
          </inkml:annotationXML>
          <inkml:trace contextRef="#ctx0" brushRef="#br0" timeOffset="-1197.425">-525-398 496 0,'-1'-3'75'0,"-2"0"-12"0,-1-2-49 16,-2 0-6-16,-3 1 25 15,-6-1 29-15,-4-2 35 16,2 2-10-16,0 2-44 16,-5-2-19-16,5 0-19 15,-2 1-3-15,-2-2-2 16,-7 0 0-16,-2 3 0 16,-4 1 0-16,-7 2 1 15,4 3 1-15,-4 3 12 16,0 1 5-16,-6 2-11 15,3 2-4-15,7 4-3 16,-3 2-1-16,-3 0 1 16,5 3 1-16,-9 3 10 15,4 0 10-15,1 4 11 16,-12 1-2-16,6-4-10 0,8 2-3 16,7 4-8-16,2-3-3 15,14-4-5-15,-1 0 0 16,1 0-2-16,0-1 0 15,3 3 0-15,4-1 0 16,3-2-2-16,3 2-2 16,11-1 0-16,5-2 0 0,2 0 0 15,3-2 2 1,4-3 2-16,2-1 0 0,10-2 1 16,4-2 0-16,8-1-1 15,8 1 1-15,1 0-1 16,-7-6 2-16,0-3-1 15,0 2 0-15,-5-3 0 16,1 1 0-16,-1-2 0 16,7-3 1-16,5 2 0 15,-3 0 0-15,-6-4 0 16,-9-1 0-16,5 0 0 16,-3-3 1-16,-5 1 0 15,-4-5 1-15,-4 0 2 16,3 0 0-16,-4-7-1 15,3 1 0-15,-1-5-1 16,-7-1 0-16,2-1 0 0,-2 0 1 16,3 1 1-16,-5 0 1 15,-6 2 4-15,3-2 2 16,-7-4 2-16,-5 1-1 16,-2-1 1-16,4 1 3 15,-6-2 9-15,-11-2 0 16,3 3-3-16,1 2-1 15,-5 5 15-15,-2 2 5 0,1 4-15 16,-2 2-9-16,-4 3-7 16,-2 2-4-16,-14 3-5 15,-1 3-2-15,-5 6-6 16,-1 2-35-16,-9 6-188 16,-3 3-188-16</inkml:trace>
        </inkml:traceGroup>
        <inkml:traceGroup>
          <inkml:annotationXML>
            <emma:emma xmlns:emma="http://www.w3.org/2003/04/emma" version="1.0">
              <emma:interpretation id="{01DA0B82-2751-4E9E-9421-F90730936D3B}" emma:medium="tactile" emma:mode="ink">
                <msink:context xmlns:msink="http://schemas.microsoft.com/ink/2010/main" type="inkWord" rotatedBoundingBox="5017,9739 5007,10377 4105,10363 4114,9725"/>
              </emma:interpretation>
              <emma:one-of disjunction-type="recognition" id="oneOf1">
                <emma:interpretation id="interp1" emma:lang="" emma:confidence="0.5">
                  <emma:literal>o</emma:literal>
                </emma:interpretation>
                <emma:interpretation id="interp2" emma:lang="" emma:confidence="0">
                  <emma:literal>O</emma:literal>
                </emma:interpretation>
                <emma:interpretation id="interp3" emma:lang="" emma:confidence="0">
                  <emma:literal>0</emma:literal>
                </emma:interpretation>
                <emma:interpretation id="interp4" emma:lang="" emma:confidence="0">
                  <emma:literal>°</emma:literal>
                </emma:interpretation>
                <emma:interpretation id="interp5" emma:lang="" emma:confidence="0">
                  <emma:literal>8</emma:literal>
                </emma:interpretation>
              </emma:one-of>
            </emma:emma>
          </inkml:annotationXML>
          <inkml:trace contextRef="#ctx0" brushRef="#br1" timeOffset="7046.7336">-1671 348 566 0,'-1'-7'166'15,"-3"-2"-130"-15,6 1-15 0,7 2-9 16,-9 0-5-16,-6-2 3 15,-1-3 7-15,-7 1 18 16,2 3 32-16,4-1-11 16,-5 1-31-16,7-1-10 15,-7 0-9-15,-8-2 1 16,1 4-1-16,7-1 5 16,-10 1 27-16,-4 4 12 0,5 0-3 15,2 2-10-15,2-1-10 16,1 1 0-16,-1 2-9 15,-3 3-5-15,6 5-7 16,0-3-1-16,-9-1-3 16,-1 5-2-16,2 3 1 15,0-3 1-15,-4-2 2 16,2 4 3-16,4 3 4 16,1-2-1-16,-1 3 7 15,-4 0 3-15,4 4-5 16,-4-1-5-16,-10-1-5 15,4-1-2-15,12-1-1 16,0 1 0-16,4-2-1 16,1 1-1-16,5 2 2 15,-2-3-1-15,4 3 0 0,-1-1 1 16,0-3-2-16,1 0-1 16,3 2 0-16,0-2 0 15,4-2-1-15,4 1 1 16,3 3 1-16,-3-4-1 15,2 0-1-15,3 4 2 16,1-3 0-16,4 1 0 16,5-2 0-16,2-1-1 0,6 0 1 15,10-2 0-15,9-1 1 16,-7-2 0-16,1-5 0 16,8-2 1-16,-1-6 1 15,3-2 0-15,-7-1 0 16,-5-2 0-16,5-3 2 15,-3-2 2-15,10-4 2 16,0-4 0-16,-15-3-1 16,-5 2-1-16,-4-6-2 15,-1 2 1-15,2-4-1 16,-2-3 0-16,-8-1 1 16,-3 2-1-16,-7 9 3 15,-3 0 2-15,-4 0 5 16,-2 2 4-16,-3 2 0 15,-1 1-2-15,-6 2 3 0,-3-1-1 16,-3 4-6-16,-3 1-2 16,-4 3-4-16,-4-1 0 15,-13 4-5-15,-3 3-3 16,-14 4-56-16,-3 5-85 16,15 10-466-16</inkml:trace>
        </inkml:traceGroup>
        <inkml:traceGroup>
          <inkml:annotationXML>
            <emma:emma xmlns:emma="http://www.w3.org/2003/04/emma" version="1.0">
              <emma:interpretation id="{3E08BDB9-FE75-4556-B4AB-8B7856F85FE4}" emma:medium="tactile" emma:mode="ink">
                <msink:context xmlns:msink="http://schemas.microsoft.com/ink/2010/main" type="inkWord" rotatedBoundingBox="5620,10780 6015,10341 6318,10615 5924,11053"/>
              </emma:interpretation>
              <emma:one-of disjunction-type="recognition" id="oneOf2">
                <emma:interpretation id="interp6" emma:lang="" emma:confidence="1">
                  <emma:literal/>
                </emma:interpretation>
              </emma:one-of>
            </emma:emma>
          </inkml:annotationXML>
          <inkml:trace contextRef="#ctx0" brushRef="#br0" timeOffset="-2764.1031">-489 870 590 0,'0'1'143'0,"0"1"-145"16,9 0 1-16,-9-1 0 16,-7 0 1-16,7-2 13 15,3 0 3-15,-8-2-7 0,-7 0 2 16,-1-2 20-16,2 1 0 16,-1 3-25-16,-1 1-6 15,-11 4-3-15,1 3 0 16,-2 6 3-16,-2 0 0 15,6 6 8-15,0 2 7 16,2 0 10-16,1 0-2 16,-5 3-7-16,4 3-3 0,3-2-2 15,-7-3-2-15,9 4-4 16,9-2-3-16,-5 1-2 16,-3-3 0-16,7-4-1 15,6 4 1-15,2-1-1 16,-8-2 1-16,8-1 4 15,8 0 1-15,-5-1 2 16,3 0 1-16,3 0-4 16,1-1-1-16,3-3-2 15,-1-4 1-15,4-4 1 16,3 0 0-16,-4-2 1 16,-1-1 2-16,1-3 6 15,-2 0 2-15,1-3-3 16,2-2-1-16,4-3 1 15,1-2 0-15,2-2-5 0,1-1-1 16,-2-3-1-16,-4 0-2 16,4-1 1-16,8 0-1 15,-9-2 1-15,-8 0 0 16,2-1-1-16,-3 1 1 16,-2 3 0-16,5 2-1 15,-7 1 1-15,-7 0 1 0,-1 1 1 16,2 3 0-16,2 6 4 15,-10-2 2-15,0-1 6 16,4 2 7-16,-6-1-4 16,-1 5-7-16,-5 0-3 15,-9-3 2-15,-1 8-2 16,7 3-2-16,-6 1-3 16,-3 5-2-16,1 0-1 15,4 2-1-15,-1 3-1 16,2-4-1-16,-2-3-2 15,3-2-5-15,8-4-38 16,3-1-52-16</inkml:trace>
        </inkml:traceGroup>
        <inkml:traceGroup>
          <inkml:annotationXML>
            <emma:emma xmlns:emma="http://www.w3.org/2003/04/emma" version="1.0">
              <emma:interpretation id="{437B6B75-3EBE-41B5-892D-D204EBA44CFA}" emma:medium="tactile" emma:mode="ink">
                <msink:context xmlns:msink="http://schemas.microsoft.com/ink/2010/main" type="inkWord" rotatedBoundingBox="6281,10508 6246,12804 4493,12778 4528,10481"/>
              </emma:interpretation>
              <emma:one-of disjunction-type="recognition" id="oneOf3">
                <emma:interpretation id="interp7" emma:lang="" emma:confidence="0.5">
                  <emma:literal>.</emma:literal>
                </emma:interpretation>
                <emma:interpretation id="interp8" emma:lang="" emma:confidence="0">
                  <emma:literal>u</emma:literal>
                </emma:interpretation>
                <emma:interpretation id="interp9" emma:lang="" emma:confidence="0">
                  <emma:literal>i</emma:literal>
                </emma:interpretation>
                <emma:interpretation id="interp10" emma:lang="" emma:confidence="0">
                  <emma:literal>I</emma:literal>
                </emma:interpretation>
                <emma:interpretation id="interp11" emma:lang="" emma:confidence="0">
                  <emma:literal>r</emma:literal>
                </emma:interpretation>
              </emma:one-of>
            </emma:emma>
          </inkml:annotationXML>
          <inkml:trace contextRef="#ctx0" brushRef="#br1" timeOffset="8345.2005">-2045 936 649 0,'-2'0'189'15,"6"1"-158"-15,0 1-13 16,1 1-5-16,1 1-1 16,4 7 5-16,-2 2 11 15,-2 5 21-15,-2 4-1 0,-2 9-10 16,3 4-6-16,-2 7-13 16,0 6-4-16,-3 3-7 15,-2 1-1-15,2 2-1 16,2 6 1-16,-4 7 5 15,-3 1 5-15,3 0 4 16,0-2-2-16,-6-4-3 16,2 1-1-16,0 0 2 15,0 1 2-15,0-2-5 16,3-1-2-16,-5-4-4 16,-3-3-2-16,7 2-2 15,4 1-1-15,0 1-1 16,0 5 1-16,2-4 1 15,2-5-2-15,-1-2-2 16,3-4 0-16,4-4 1 16,-3 0-1-16,8-2 1 15,0-2 2-15,-4-5 9 0,2-4 5 16,8-9 0-16,1 3-4 16,-3 1-4-16,4-4-2 15,11-3-3-15,4-1 0 16,-2-3-1-16,-7-3 1 15,8-1 2-15,3-2 1 16,-3-3 10-16,-4-1 8 0,1-3 5 16,2-1-7-16,2-1-11 15,4-1-2-15,4-2-3 16,5-2-1-16,-9 0-1 16,1 1 0-16,-4 1 2 15,-5 0-1-15,-2 0-1 16,5 0 1-16,0 0-1 15,-3 0-3-15,7-2 0 16,5 1-1-16,-2 0 0 16,-6-3 1-16,4 0-2 15,-1 1 1-15,2-1 0 16,-3-1 0-16,-1 0 0 16,1 3-1-16,1 6 1 15,-1-3-1-15,-4 5 1 16,-8 1 1-16,-7-4-1 0,1 2 1 15,-1 1-1-15,-6 0 0 16,-13-4 1-16,-4-1 0 16,2 3 12-16,6-1-8 15,-8-2-23-15,-7-3-5 16,-7-6-5-16,1-1 6 16,-2-4 11-16,1-1 7 15,4-1 3-15,1 5-2 0,3 0 3 16,6 2 2-16,0 10 8 15,2 1 10-15,-1-1 19 16,1 2 6-16,0 2-15 16,0 0-16-16,-2 10-15 15,1 3 0-15,3 2 2 16,2 2-1-16,8-1-1 16,-5 1 1-16,5-1 0 15,6-1-1-15,1-1 2 16,-4 1 0-16,6-1 2 15,0-2 0-15,-7-2-2 16,-4-2 0-16,5-1 0 16,0-2 1-16,-9-4-1 15,-4 0 0-15,-2-4 10 16,0 0 9-16,-4 3 6 16,-7 3-6-16,-16 3-18 0,-1 2-3 15,-12 5-2-15,1 3-4 16,9 2-59-16,-1 1-47 15,-2-2-220-15</inkml:trace>
        </inkml:traceGroup>
        <inkml:traceGroup>
          <inkml:annotationXML>
            <emma:emma xmlns:emma="http://www.w3.org/2003/04/emma" version="1.0">
              <emma:interpretation id="{0A3C5982-F582-4766-8E97-A52BF4211896}" emma:medium="tactile" emma:mode="ink">
                <msink:context xmlns:msink="http://schemas.microsoft.com/ink/2010/main" type="inkWord" rotatedBoundingBox="5433,10508 5421,11265 5005,11259 5017,10502"/>
              </emma:interpretation>
              <emma:one-of disjunction-type="recognition" id="oneOf4">
                <emma:interpretation id="interp12" emma:lang="" emma:confidence="1">
                  <emma:literal/>
                </emma:interpretation>
              </emma:one-of>
            </emma:emma>
          </inkml:annotationXML>
          <inkml:trace contextRef="#ctx0" brushRef="#br0" timeOffset="-3907.5993">-1557 1166 171 0,'-4'1'166'15,"2"0"-16"-15,2 0-111 16,2 0-32-16,-2-1 2 15,0-3 19-15,4-2 51 0,-2 0 8 16,5-2-15-16,5-1-11 16,8-3-21-16,3-4-7 15,5 1-4-15,4-1-2 16,8-1-13-16,-1 3-5 16,-7 2-2-16,-5-1-2 15,0-5-3-15,0 1-2 16,-2 3-12-16,-9-2-77 0,-1 2-296 15</inkml:trace>
          <inkml:trace contextRef="#ctx0" brushRef="#br0" timeOffset="-4225.7365">-1514 1050 260 0,'-4'1'59'0,"2"-1"-2"15,0 2-24-15,0 7-20 16,2-1 17-16,-2 0 45 16,-1 5 1-16,3 0-20 15,1 0-10-15,3 10-23 0,-2 0-7 16,9 3-6-16,5 4-2 16,-3 5-1-16,2 1 2 15,3 11 7-15,5 7 1 16,-5 3-4-16,2-3-3 15,-4-4-3-15,-4-4-3 16,0-11-1-16,-3-7-2 16,-5-11-1-16,5-3-1 0,-3-8-54 15,-6-5-87-15</inkml:trace>
          <inkml:trace contextRef="#ctx0" brushRef="#br0" timeOffset="-3642.7254">-1422 1361 542 0,'10'7'52'15,"1"-3"5"-15,2-1 30 16,-3 0-20-16,6-3 5 16,-2-1 4-16,-1-4-6 0,2-3-7 15,4-4-30-15,9-2-14 16,2-7-17-16,-3 0-4 15,6-2-140-15,0-1-166 16</inkml:trace>
        </inkml:traceGroup>
        <inkml:traceGroup>
          <inkml:annotationXML>
            <emma:emma xmlns:emma="http://www.w3.org/2003/04/emma" version="1.0">
              <emma:interpretation id="{4A892BB7-BD51-447C-8F8D-AF40C4BCCD80}" emma:medium="tactile" emma:mode="ink">
                <msink:context xmlns:msink="http://schemas.microsoft.com/ink/2010/main" type="inkWord" rotatedBoundingBox="5892,12988 5880,13727 4578,13708 4589,12968"/>
              </emma:interpretation>
              <emma:one-of disjunction-type="recognition" id="oneOf5">
                <emma:interpretation id="interp13" emma:lang="" emma:confidence="1">
                  <emma:literal/>
                </emma:interpretation>
              </emma:one-of>
            </emma:emma>
          </inkml:annotationXML>
          <inkml:trace contextRef="#ctx0" brushRef="#br1" timeOffset="4913.6188">-1975 3624 478 0,'-6'-5'197'0,"2"-1"-54"15,2-1-74-15,0 4-29 0,2-3-33 16,2-2-4-16,0-1 13 15,2-2 13-15,9-6 9 16,6-1-5-16,5-8-6 16,5-1-3-16,11 0-9 15,7 1-4-15,-5 6-7 16,-4 4-2-16,-7 4-1 16,-9 4 1-16,1 8-1 15,5 3 1-15,-6 9 3 16,-3 4-1-16,-3 5 1 15,-1 5 0-15,-6 4 0 16,-7 2-1-16,-4 4-3 16,-4 4-1-16,-11 4-2 15,-2-1-2-15,-5 2 1 16,2-2 0-16,-11-8-12 0,-2 0-14 16,-1-6-25-1,-7-3 1-15,1-10 13 0,1-3 15 16,16-9 33-16,4-3 10 15,12-3-1-15,5-1-7 16,2-2-10-16,2 1-1 16,2-3-2-16,2 0 3 15,7 0 7-15,4 0 7 0,6 1 5 16,11 2-2-16,0 2-1 16,-5 0-1-16,10 2-6 15,1 2-5-15,-4 2-1 16,-2 3 0-16,5 1 14 15,3 1 10-15,1 3 4 16,1 0-4-16,3-1-9 16,4 1-8-16,-4-1-8 15,-7-2-1-15,-8-3-3 16,-6-3-54-16,-3-7-250 16</inkml:trace>
          <inkml:trace contextRef="#ctx0" brushRef="#br1" timeOffset="4311.6273">-1900 3541 667 0,'-2'9'103'15,"2"0"-31"-15,4 4-31 16,-2 4-21-16,1-3-13 16,-2 2-1-16,1 5 0 15,-1-2 3-15,3 6 15 16,-2 4 2-16,2 8-15 15,0 1-3-15,1 4 2 16,5 2 3-16,2-4 3 16,-6-1-1-16,0-5 0 15,3 1-2-15,-1-8-8 16,0-5-3-16,-5-7-2 16,-3-13-8-16,0 0-198 15,4 1-161-15</inkml:trace>
          <inkml:trace contextRef="#ctx0" brushRef="#br1" timeOffset="5614.1938">-1254 3413 944 0,'2'2'271'16,"2"0"-238"-16,-2 4-23 15,7 7-8-15,6 3 0 0,-5 2-2 16,-5 2 1-16,8 8 1 16,0 2-1-16,-1 4 0 15,-3 3 0-15,3 5 0 16,3 0 0-16,-1-3 0 16,-1-5-1-16,-7-8 1 15,0 2 0-15,-1-12 1 16,-4-7 1-16,-1-6 5 15,0-2 3-15,-1-5 3 16,-4-4-7-16,1-16-10 16,0-12 0-16,0-4 3 15,-1 2 0-15,1-7 2 16,2 1 0-16,2 3 3 16,0 0 3-16,8 11 0 15,-3 7 0-15,1 8 1 0,0 4 1 16,3 5 2-16,-1 4 1 15,5 7 6-15,2 4-2 16,2 8-7-16,2 7-3 16,5 8-5-16,-1 0 0 15,-4 0-1-15,-4-2 1 16,-4-5 0-16,6-2 0 16,-7-11-1-16,-10-8-2 15,2-1-7-15,5-1-8 0,-7-10-11 16,4-5-5-16,1-14-37 15,-12-7 0-15,9 0 47 16,1-2 14-16,1 1 8 16,4 2 2-16,-1 4 5 15,1 1 2-15,1 9 0 16,-1 7-3-16,-2 9 16 16,-3 5 18-16,11 11 29 15,4 8-8-15,-3 14-37 16,0 5-10-16,2 4-9 15,-3 3-2-15,-1-1-3 16,1-4-27-16,-4-12-250 16</inkml:trace>
        </inkml:traceGroup>
      </inkml:traceGroup>
    </inkml:traceGroup>
  </inkml:traceGroup>
</inkml:ink>
</file>

<file path=xl/ink/ink6.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6-27T00:16:48.182"/>
    </inkml:context>
    <inkml:brush xml:id="br0">
      <inkml:brushProperty name="width" value="0.07361" units="cm"/>
      <inkml:brushProperty name="height" value="0.07361" units="cm"/>
    </inkml:brush>
  </inkml:definitions>
  <inkml:trace contextRef="#ctx0" brushRef="#br0">513 45 1 0,'3'-1'0'0,"-2"-1"0"0,2 2 0 16,-3 0 0-16,0 0 0 0,0-1 0 0,-1-1 0 15,1 2 0-15,0 0 0 0,1 2 0 0,1-1 0 0,-1-1 1 16,-4 2 16-16,2-2 4 0,-1-2 15 0,2 2-8 15,0 2 8-15,0-2 10 0,2 0-15 0,-1 0 13 16,-1 0-22-16,0-2-4 0,0 2 3 0,0-4-5 16,0-1-11-16,-4 4 14 0,4-2-19 0,0 3 18 15,0 0-10-15,0 0-3 0,-3-2 12 0,0 0-11 16,3 2-6-16,0 0 8 0,-4 0-11 0,4 0 10 16,-3-4-5-16,-3 2 2 0,3-1 4 0,-3 3-2 15,2-1-6-15,1-2 11 0,3 3-5 0,-7-3 7 16,1 3-7-16,0 0-3 0,-3 0 0 0,1-2-2 15,2 1-2-15,3-2 1 0,-1 3-2 0,-4-2 2 0,0 1 2 16,-4 1 4-16,6 0 2 0,0 0-2 0,-5 0-10 16,5 0 7-16,-3 0-8 0,-2 4 9 0,5-4 5 15,-3 3-9-15,6-1 9 0,-4-2-10 0,-9 4-4 16,10-1 13-16,2 0-8 0,-9 2 11 0,13-5-3 0,-9 1-8 16,2 1 6-16,1 0-8 0,-1 2-6 0,4-2 15 15,-6 1-8-15,3 0 10 0,-1 0-9 0,0-2-4 16,1 1 3-16,3-2-5 0,3 0-4 0,-6 0 18 15,3 1-10-15,-1 1 13 0,4-2-9 0,-4 1-2 16,4-1 4-16,0 0-5 0,0 2-7 0,0-2 8 16,0 0-4-16,-3 0 6 0,3 0 4 0,0 0-5 15,-3 1 2-15,0 1-3 0,0 1-7 0,0 0 4 16,3 0-8-16,0 0 8 0,-3 2 6 0,2-1-5 16,-2 2 7-16,0-1-8 0,-4 1-2 0,4-1 6 15,3-2-9-15,-9 1 9 0,8 1 6 0,-4-2-14 0,4 2 14 16,-1-2-16-16,4 0 13 0,-4 0-2 0,-2 1-5 15,0 1 3-15,1-1 8 0,0 2-13 0,-3-1 11 16,5 0-14-16,-2-1 2 0,1 2 7 16,-1 0-10-16,-1-1 11 0,-3 1 8 0,1 0-10 0,3 0 12 15,0-1-13-15,3 1 7 0,-3 2-11 0,0-1-3 16,0-1 0-16,-1 2 9 0,4-3-2 0,-4 1 5 0,1 1-5 16,0-1-7-16,3 0 13 0,0 1-14 0,0 0 13 15,0-1-3-15,0-1-7 0,0 1 14 0,3 0-14 16,-3 0 0-16,3 0 11 0,-3-1-11 0,4 1 11 15,-1 0-11-15,-2 2 6 0,2-2 3 0,-1 0 0 16,-4 1-9-16,4-2 9 0,1 3-4 0,-2-2 6 16,8 1-5-16,-2 1-4 0,-4-2 6 0,3 3-3 15,-3 2-5-15,0-6 6 0,-2 2-8 0,2-1 9 16,0-1 13-16,0 2-20 0,7 1 10 0,-6 1-14 0,2 0 8 16,0-1 2-16,0-2-8 0,-2 0 8 0,-4-1 8 15,4-1-7-15,-1 2 7 0,0-1-10 0,0 0-5 16,3-1 8-16,-3 2-2 0,3-1 3 0,1-2 0 15,-3 2-1-15,2-2 4 0,6 3-3 0,1-3-5 0,-6 1 6 16,-1-2-3-16,-3 1 7 0,10 3 0 0,0-6-10 16,1 1 10-16,-5-1-9 0,3 4 6 0,2-1-1 15,1-3-12-15,2 0 9 0,-11-2 3 0,11-1-3 16,-8 5 9-16,6-2-9 0,5 0 0 0,-11 0 3 16,8-4-12-16,-1 1 9 0,-1-3 4 0,2 2-1 15,-5-2 6-15,1-2-8 0,3 0-2 0,-3 2 1 16,3 0 0-16,-6 3 1 0,0-1 6 0,0-4 3 15,-1 0-5-15,0 1 0 0,7-2-28 0,-9 1 26 16,6-1-9-16,-7 0 14 0,-2 3-2 0,2-5-5 16,0 2 13-16,4 3-13 0,0-5-7 0,-1 2 9 15,4 1-10-15,-9-4 12 0,2 1 3 0,0 1-5 0,-3-3 9 16,4 3-9-16,-3-4-3 0,-2 2 12 0,1 0-3 16,-3-1 7-16,0 1-6 0,0 1-5 0,-2 1 1 15,1-2-2-15,-2-1-5 0,1 3 4 0,-2-1-7 16,0 0 8-16,1 4 6 0,0-2-8 0,-3-1 10 15,3 3-11-15,-1-1-7 0,-2 1 16 0,-4-1-14 16,4 2 15-16,-1 0-4 0,-2 0-7 0,5 1 12 16,-2 1-12-16,0-3 9 0,0 1-6 0,-1 0 0 0,0 0 0 15,-2 2 12-15,0-3-15 0,-2 3 9 0,2-2-11 16,2 1 0-16,-6 1 9 0,1 1-8 0,3-2 10 16,-5 2-1-16,-1 0-12 0,-2 1 12 0,1 1-12 15,0-1 11-15,4 1-4 0,-5 1-3 0,2-2 2 16,-2 2 2-16,-3 0-1 0,5 0 1 0,-2 0-2 15,4-1-5-15,-6-1 7 0,0 2-8 0,-4-1 8 16,4-1-2-16,-3 2-2 0,3 0 4 0,2 0-6 16,-2 3-16-16,-3 0 11 0,2 3-22 0,-2 5 16 15,-6 1-34-15,1 7-57 0,-4 2-20 0,-1 9-24 0,0 9 148 16</inkml:trace>
  <inkml:trace contextRef="#ctx0" brushRef="#br0" timeOffset="1">517 146 104 0,'-11'-5'21'0</inkml:trace>
</inkml:ink>
</file>

<file path=xl/ink/ink7.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6-27T00:16:48.184"/>
    </inkml:context>
    <inkml:brush xml:id="br0">
      <inkml:brushProperty name="width" value="0.05153" units="cm"/>
      <inkml:brushProperty name="height" value="0.05153" units="cm"/>
      <inkml:brushProperty name="color" value="#ED1C24"/>
    </inkml:brush>
  </inkml:definitions>
  <inkml:trace contextRef="#ctx0" brushRef="#br0">0 140 1 0,'6'-2'0'15,"-2"-4"0"-15,3 0 0 0,-1 0 0 0,0 0 0 0,-3 5 0 16,4-4 0-16,-3 1 0 0,-1-4 0 15,2 5 0-15,-4-2 0 0,2 2 0 0,3-2 4 0,-3-4-2 16,6 6 3-16,-5 0-3 0,2 1-4 0,-3 1 8 16,3-2-11-16,1-1 8 0,0 4-7 0,-1 0 6 15,3 2 8-15,1 0-5 0,-3-1-6 0,-1 2 14 16,-3 0-7-16,0-1 12 0,7-2-4 0,-3 0-4 16,-1 0 2-16,6 0-5 0,-8 1-3 0,8-1 18 15,-9-1-13-15,6-1 14 0,1 2-8 0,-6 0-1 16,5 0 5-16,-3-3-6 0,4 2-10 0,0-1 11 15,-4 1-6-15,7-1 8 0,-7-1-3 0,1 3-2 16,-1 0 4-16,0 0-6 0,-2 6-11 0,3-1 6 16,-1 1-10-16,0-2 9 0,7-4-3 0,-1-1 5 15,-6-1 4-15,7 1-2 0,-4 1-6 0,-2 0 7 16,3-3-5-16,2 4 6 0,-5-1 6 0,6 0-9 0,-3 0 6 16,-1-7-9-16,4 2-11 0,-5 0 18 0,2 0-11 15,0 5 13-15,2-5-11 0,-2 1 4 0,3 1 6 16,0-2-4-16,3 4-6 0,-3-3 13 0,0 3-6 15,-1-2 11-15,-5 1 0 0,2 2-14 0,-2 0 8 16,-1 0-9-16,3 0 9 0,1 0-8 0,0-1-5 16,2 1 2-16,1 1 2 0,0 1 0 0,-3 1 8 0,0 0-5 15,-4-1-5-15,0-1 7 0,4 2-9 0,-2 0 7 16,-4-3 3-16,5 3-8 0,-2 0 11 0,2-1-11 16,-2 1-1-16,2-3 4 0,2 4-11 0,-3 0 9 15,2 1 4-15,0 4-8 0,-4-7 9 0,4 1-11 16,-7 0-6-16,3 0 14 0,-2 5-11 0,0-3 13 15,-1-2 2-15,2 0-4 0,-1 0 4 0,-1 3-6 16,2-1-2-16,3-1 1 0,0-1 0 0,-1 0 0 16,-4-3 10-16,4 2-2 0,-4 1-5 0,3-3-2 0,1 3-28 15,2-2 39-15,-2-1-21 0,6 0 25 0,-10 0-22 16,10 0 5-16,-1-1 9 0,-8 1-7 0,8-2-1 16,-5-2-1-16,2 4-1 0,0-7 0 0,1 6 13 15,-3-2-14-15,-1-1 8 0,3 2-10 0,4 2 1 0,-3 0 8 16,-1 0-6-16,2 0 8 0,-5-3-4 0,0 5-6 15,7-1 4-15,-6-1-5 0,-1-1 9 0,5-2-6 16,-4-3 0-16,0 1-1 0,2 5 2 0,1-1 3 16,0 1 3-16,-1-5-3 0,0-1-9 0,2 0 11 15,-2 3-8-15,-3 2 9 0,7-1-6 0,-6-1 3 16,5 0-2-16,-3 2 1 0,0-2-9 0,1 1 8 16,-3 0 0-16,0 1 4 0,-1 1-8 0,-3 0 2 15,3-3 2-15,1-1 2 0,-3-1-4 0,2 4 1 16,0 1-6-16,0-2 5 0,7 4 6 0,-4-2 9 0,-5-3-11 15,5 1 4-15,-2-4-30 0,2 3 22 16,0 1-2-16,1-1 6 0,2 2 2 0,-5 1-6 0,3-6 7 16,0 5-8-16,-4-2-10 0,7 3 17 0,-1-2-12 15,-8 2 14-15,5 0-7 0,-2 0-6 0,-3 0 13 16,5 2-11-16,0-2 7 0,-2 0 5 0,2 1-12 16,-3 1 9-16,3-1-9 0,1 3 12 0,-1-2-5 15,-2-4 7-15,3 1-23 0,-1 1 23 0,-5 0-11 16,5 0 15-16,-2 0-4 0,3 0-13 0,-1-3 23 0,-3 3-20 15,4 0 18-15,0-3-11 0,-2 3-6 0,5 0 4 16,-3 2 10-16,2 2-8 0,-1-4 3 0,-2-3-5 16,4 2-6-16,-6-2 7 0,2 3-4 0,0 0 6 15,2 0 0-15,-2 0-3 0,0-3 4 0,1 1-4 16,-1 2-14-16,-3-1 17 0,4 2-15 0,0-2 17 16,-1-1-7-16,4 2-6 0,0-1 5 0,-1 1-6 15,4 0 3-15,-3 0 3 0,1-2-8 0,-3 2 6 16,8 2 2-16,-6-2-8 0,0 0 9 0,0 0-9 0,0 0 3 15,0 0 6-15,-1 0-3 0,4 3 6 0,-3-3-11 16,-1 1 3-16,1-1 0 0,-3 3 1 0,-1 2-3 16,4-1 7-16,-3-3-13 0,3 1 12 0,-1-1-2 15,1 2 0-15,-3 1 7 0,3 0-8 0,-1-2-12 0,0-2 15 16,8 4-10-16,-7-2 12 0,3-1-6 0,0 11-5 16,-10-7 12-16,7 1-9 0,-3-2 9 0,2 1-6 15,0 1-10-15,-1-1 6 0,1 3 9 0,1-5-4 16,-4 2 9-16,-2-2-10 0,2-2-5 0,2 1 9 15,-2 2-8-15,0 2 9 0,1-3-3 0,-1-1-1 16,-2-1 2-16,3 2-3 0,-2 0-12 0,-1 0 15 16,2 0-8-16,-2-1 11 0,5 1-3 0,-5 0-6 15,6-3 7-15,-3 3-7 0,-1-2 1 0,4-2 4 16,-4 5-6-16,-2-2 6 0,3 2-2 0,0 4 2 16,-1-4 3-16,-4 1-3 0,6-5-11 0,-3 1 9 15,-4-1-10-15,5 0 11 0,-1 3 5 0,1 0-6 16,-3 5 12-16,4-4-12 0,3 1-4 0,-1-4 8 0,1 2-9 15,-3-3 10-15,3 3-4 0,-2 2-1 0,2-4 6 16,3 5-5-16,-3-6 2 0,4 3 1 0,-8-3-8 16,1 0 4-16,-3 0 4 0,2-1-4 0,3 1 6 15,5 0-7-15,-2-2 0 0,-2 0 2 0,6 2-2 0,-6-2 3 16,-1 0 10-16,5 4-12 0,-5-5 9 0,5 0-11 16,-5 3-4-16,1-5 10 0,2 5-7 0,2 2 9 15,-2-4-6-15,-1 1 0 0,-2-2 1 0,2-3-2 16,-5 3 4-16,3 1-3 0,2-1-1 0,-3-3 0 15,5 5 7-15,-3-2-6 0,0-2 3 0,3 5-6 16,0-6-4-16,-3 5 11 0,4 1-7 0,-2-2 8 16,-3 4-7-16,4-2 2 0,0-2 6 0,-6-2-5 15,5 8-5-15,2-4 5 0,2 3-11 0,-6-3 10 16,3-3 2-16,-4 3-5 0,-3-4 13 0,10 4-13 0,-6 0 3 16,1-3 0-16,-5 3-2 0,4-2 2 0,-6-5 4 15,8 7-11-15,4 0 12 0,-6 0-11 0,6 7 0 16,-3-7 11-16,-3 5-9 0,-1-2 13 0,2-2-1 15,1-1-13-15,-4 0 5 0,4 2-7 0,1 1 4 0,-7 1 2 16,7 1-4-16,-4-1 5 0,-5 5 4 0,3-7-5 16,2 4 1-16,-2 0-2 0,0-3-6 0,0 6 14 15,-1-2-10-15,4-2 10 0,-3 1-12 0,2-2 6 16,1 2 3-16,-1 1-2 0,-2-3-7 0,-1 0 9 16,-2-1-12-16,2 0 11 0,2 0 2 0,1 2-4 15,-3-1 12-15,5 3-12 0,-2 1-9 0,1-5 11 16,-4 3-10-16,4-3 12 0,-7 0 0 0,4 1-4 15,2-1 3-15,1-2-5 0,0 5-6 0,-2-3 13 16,-2 0-4-16,3 0 7 0,4-2-8 0,-1 1 0 16,-2-1-1-16,0-1-1 0,-3 0-13 0,3 0 23 0,10-1-8 15,-8-1 13-15,8 1-9 0,-4 1-6 16,-7-2 2-16,5-1-5 0,-2 3-4 0,2-3 10 0,-2 2-8 16,5 1 10-16,-1-6 0 0,-3 3 6 0,2-2-4 15,-2 2 1-15,0 2-17 0,0-2 11 0,1 1 2 16,1-1 3-16,2-3-3 0,1 3-4 0,-2-4 1 15,-2 4-3-15,2 0 0 0,0 0 5 0,3-2-8 16,-5 4 8-16,-1-2 7 0,3-2-8 0,-1 2 5 0,2-3-7 16,-1 3 9-16,0 2-8 0,1-5 1 0,-1 3-4 15,-4 0 10-15,1 0-8 0,-6 3 8 0,9-2-9 16,0-2 2-16,1-2 5 0,2-2-10 0,-4 1 9 16,4 1-5-16,1 3 0 0,-1 0 10 0,-2-3-7 15,-1 3 1-15,-3-3 1 0,0 0-10 0,-1 3 7 16,-1-2 5-16,-2 2-10 0,1 0 10 0,3-1-11 15,0-1 4-15,0 1 2 0,4 1-8 0,-3-2 8 16,3 4 5-16,3 1-6 0,-8-3 7 0,4 0-9 16,-6 1-9-16,7 2 19 0,-8 2-21 0,7-1 21 0,-3 2-4 15,0-1-5-15,6-2 13 0,-6 1-14 0,1-1-4 16,2 6 7-16,-7-3-5 0,4 0 6 0,-3 6 2 16,2-9-4-16,1 5 7 0,-3 1-9 0,4-5-8 0,-1 4 17 15,-1-2-13-15,-5-3 14 0,6 3-4 0,-4 0-6 16,8 0 9-16,2 3-9 0,-6-5 4 0,0-1 5 15,-6 5-6-15,6-4 5 0,-4-1-3 0,0 0-2 16,5-3 1-16,-1 3-3 0,-1 2-8 0,2-1 16 16,-1-1-8-16,1 0 9 0,-2-1-7 0,3 1 1 15,1 3 4-15,4-3-3 0,0 0-6 0,-4-3 5 16,0 3-7-16,-1 1 8 0,-5 1 3 0,6 4-3 16,-6-6 3-16,0-2-5 0,0 2-13 0,3-3 16 15,3 2-9-15,1-1 12 0,-5 2 3 0,1 0-11 16,-4 0 10-16,8 0-13 0,5-3 4 0,-5 0 1 15,-1 0-4-15,3-6 4 0,0 3 4 0,0 5-5 16,4 1 1-16,-6-2-4 0,-1 1-4 0,-6-2 11 0,5-2-3 16,-2 4 5-16,6-1-2 0,-6-4-2 0,4 6 3 15,-4 0-4-15,0-1-8 0,3 5 9 0,3-7 1 16,-3 2 5-16,4 1-3 0,-1-2-6 0,-3 2 2 16,1 0-2-16,-2 2-1 0,1-2 4 0,6 1-8 15,-5-1 8-15,-1-1 1 0,-2-1 0 0,1-1 4 16,-2 2-5-16,3-1-7 0,0 2 7 0,1 0-5 0,-1-1 8 15,0 2 2-15,1-1-3 0,-6-3 1 16,6 3-3-16,-4-3-1 0,0 3 1 0,3-3-1 0,-6 3 0 16,6-1 5-16,-3-1 3 0,5 1 2 0,0 1-2 15,4 0-12-15,-6 3 5 0,1-3-2 0,-5 0 3 16,1-2-1-16,-1 1 3 0,4 4-11 0,1-3 7 16,-4 3-5-16,4-3 2 0,-5 3 9 0,1-2-6 15,0 1 9-15,-1-2-13 0,-5 0 7 0,7-3-8 16,-2 3 6-16,2 0 2 0,5 0-12 0,-9 0 9 0,3-2 4 15,2 1-3-15,1-1 12 0,4 2-12 16,-4 0-6-16,1 0 5 0,-5-3-2 0,5 2 4 0,2-2 11 16,0 1-6-16,0 0 4 0,0-2-6 0,-1 1-9 15,-6 2 6-15,4-1-4 0,-4 1 6 0,1-2-1 16,-3 1-4-16,3 2 2 0,-6-1-3 0,6 1 3 0,-6-2 2 16,6 1-7-16,-3 1 4 0,1 0 1 0,2 0-4 15,-3-2 10-15,4-1-9 0,-2 2-4 0,1-1 8 16,-3 0-6-16,4 2 8 0,2-1 6 0,-4-2-7 15,-9-1 4-15,7-1-7 0,-3 2-3 0,3 3 3 16,0-3-7-16,2 2 8 0,-8-1 7 0,3 1-13 16,2-1 9-16,-1 2-10 0,1-1 6 0,0-1 1 15,-6-3-1-15,4 7 2 0,-4 0 0 0,7-2-5 16,-3 4 2-16,-1-4-4 0,2 0 9 0,-3 0-5 16,-4 0 0-16,2 0-2 0,1-1 4 0,2-1 1 15,-2 2 1-15,-1 2-1 0,1 1-6 0,-1 0 5 16,2-5 1-16,-7 1 2 0,5 2-1 0,0-1-3 15,-2 3-1-15,5-3 0 0,-5 0-15 0,2 0 20 0,4 0-8 16,-6 0 14-16,2 2 15 0,0-2-39 0,-3 1 21 16,3-1-27-16,1 3 21 0,-3 0 3 0,2-3-3 15,-3 0 2-15,3 2-7 0,0-5 4 0,2 4 0 16,-2 1 3-16,0 2-3 0,-1 0-3 0,5-2-1 16,-1 1 1-16,-2-4 8 0,-1 1-8 0,4 3 5 0,-1 0-7 15,-2 1-9-15,6 1 21 0,-4-5-16 0,1 0 19 16,0 0-6-16,-3 0-6 0,2 4 11 0,-3-2-11 15,4 2 2-15,-4-3 2 0,3 1-7 0,-3 0 6 16,1 1 5-16,2 0-9 0,1-2 7 0,-4 4-8 16,2 1-1-16,0-5 5 0,-4 1-5 0,2-1 6 15,7-1 4-15,-9 3-5 0,2 3 3 0,3-6-5 16,-2 2-5-16,6-1 9 0,-2 1-3 0,0 2 5 16,1 1 2-16,-9-5-6 0,10 1 4 0,-4-1-6 15,-2 0-6-15,9 5 9 0,-9-2-2 0,2-3 4 0,1 3 1 16,2-3-7-16,-5 0 7 0,8 0-6 0,-5 0 4 15,3 1-1-15,0-1-9 0,-7 3 7 0,0-3 0 16,5 0-2-16,-2-3 10 0,0 2-7 0,7 1 2 16,-6 0 2-16,-1 1-5 0,4-1 3 0,-7 0-1 15,7 0-2-15,-1-1 3 0,-5-1-3 0,3 1-5 0,-3 1 6 16,-1 0-6-16,-3 1 7 0,3 2-2 0,0-3 7 16,1 3-2-16,0-3 2 0,-1 2-15 0,3-2 9 15,2-5-3-15,-3 2 6 0,-1 2-1 0,-2 1-4 16,5 0 7-16,-3 0-6 0,-1-2 9 0,0 2-10 15,2 0-8-15,0 5 3 0,-1-4 7 0,-1-1 0 16,5 0 8-16,-2 0-8 0,0 0-6 0,4 0 11 16,-3 0-10-16,-1 0 10 0,4 0 0 0,-4-1-9 15,0 1 9-15,2 0-9 0,-2 0 5 0,0 0 1 16,2 1-7-16,-2-1 5 0,0 0 11 0,1 0-13 16,-3-1 7-16,-1-1-11 0,-3 1-3 0,7 1 9 15,0 0-3-15,-1 1 4 0,3 1 3 0,-3-2-3 0,4 0 5 16,-2 1-6-16,-2-1-10 0,0 0 12 15,-2 0-7-15,2 0 9 0,-2 3-4 0,9-3 2 0,-4 2 1 16,-2-2 0-16,0-6-10 0,-2 3 10 0,5 1-11 16,0 1 10-16,0 1 3 0,3 0-5 0,-6 0 9 15,3 1-11-15,2-1-6 0,-5 2 9 0,0-5-6 0,-1-2 8 16,-2 5 6-16,2-3-12 0,1 3 6 0,-4 3-10 16,3-3 1-16,1 2 10 0,-1-1-9 0,-2-1 11 15,6 0-3-15,-3 3-7 0,-1-3 7 0,4 2-8 16,-3 1 3-16,-1-3 5 0,1 0-5 0,-2-2 5 15,-1 1-3-15,3 1 0 0,-3 0 6 0,1 0-4 16,-1 0-9-16,3 0 10 0,-1 1-8 0,-2 1 9 16,6-1 0-16,-3 2-5 0,2-1 3 0,-2-4-4 15,-1 2 7-15,-2-4-5 0,5 4 0 0,0 0-4 16,-2 4-2-16,7-4 17 0,-11 0-11 0,3 0 11 16,8-4-32-16,-8 4 21 0,4-2-3 0,3 2 8 15,-3 0 1-15,-1 2-10 0,-3-2 6 0,4 0-8 0,-6 0-4 16,2-3 15-16,11 7-11 0,-11-4 14 0,4 3-2 15,0 0-7-15,-7-3 8 0,10 2-9 0,-4-1-3 16,-2-1 6-16,0 0-3 0,2-1 5 0,-2 1 1 16,2 0-5-16,-2 0 5 0,0 1-5 0,-1-1-11 0,-2 3 18 15,7 0-9-15,-6-4 14 0,2 1-5 0,-4-3-6 16,1 0-1-16,2 3-3 0,-3-2-6 0,4 5 12 16,-1-1-4-16,-2-2 6 0,2-2 1 0,2-1-1 15,-2 3-4-15,0 0 2 0,1 3-4 0,-3-1 0 16,-1-4 5-16,0 1-2 0,5-1 9 0,-2 2-23 15,-1-1 14-15,2 2-14 0,0 1 21 0,-1-2 0 16,1 3-13-16,-3-2 8 0,2 1-2 0,3 1-4 16,-4-2 7-16,0-1-8 0,-1 2 5 0,3-2 2 15,3 0-4-15,-1 3 2 0,4-2 3 0,-7 1-8 16,1-1 7-16,0 1-8 0,-7 1 6 0,9 3-3 0,-2-6 0 16,-3 0 0-16,8 0 8 0,1 0-5 0,-12 1 0 15,5 1-1-15,-5-2-5 0,3 0 5 0,1 1-5 16,1 2 5-16,5-1-2 0,-5-1 3 0,4-1 4 15,0 0-1-15,-1 2 1 0,-1-2-7 0,-2 1 0 16,0-1-1-16,1 0 6 0,0-1-4 0,2 1 5 16,0-3-4-16,1 1 0 0,3 2-2 0,-3 0-8 0,6 2 7 15,-6-2 17-15,4-2-14 0,-2 2 6 0,-1 0-10 16,0 0-2-16,0 0 6 0,-2-1 1 0,4-1 4 16,-6 1 0-16,2-2-5 0,2 3-4 0,-5 0-1 15,4-2-6-15,-1 0 19 0,-2-2-13 0,3 4 13 16,-1 0-4-16,4 0-10 0,-3 0 14 0,0-1-14 15,-1 1 7-15,1 0 0 0,3 3-2 0,0-3 1 16,-6 0 7-16,2-2-6 0,-2 1 0 0,-3-1-2 16,8 1-4-16,1 1 5 0,-3 0-4 0,1-2 4 15,-5 2-3-15,3-1 1 0,-2-1 7 0,3 2-5 16,-5-3-7-16,3 3 7 0,1 2-7 0,-2-4 9 0,3 2 8 16,-1 2-10-16,-1-2 5 0,4 0-7 0,-5-2 5 15,2 1-5-15,-2 1 1 0,5-2-3 0,-5 2 4 16,9-1 0-16,-6-1 4 0,6 1-2 0,0 1-4 15,1 1 6-15,-1 2-10 0,-6-3 9 0,3-1-3 0,-4 1 0 16,4 0 6-16,-3 0-6 0,0 0-11 0,2 1 12 16,-5-1-4-16,4 2 8 0,-2-1-3 0,3-2 1 15,1-1 3-15,1 1-3 0,-2-2 1 0,4 3-2 16,1 0-1-16,-1-3 1 0,1 0 1 0,-6 3-6 16,-10-6 4-16,11 4-4 0,-5 2 1 0,9-1 3 15,2 1-7-15,-6 0 6 0,4-2 0 0,-9-1-4 16,6 3 10-16,-4-4-7 0,4 2 3 0,0 2 4 15,-3 0-7-15,3-3 5 0,-10-1 0 0,7 1-2 16,-3-5 2-16,6 11-4 0,-1-1-8 0,2-2 11 16,-5-2-7-16,0-5 8 0,1 7-4 0,-3-3 1 15,6 3 5-15,-3 0-4 0,0-5-6 0,0 2 6 16,-1-1-9-16,1 1 10 0,-1 1-1 0,-1 2-2 0,0-5 8 16,-1 5-8-16,1-1 2 0,-2-3-2 0,3 4 0 15,-2-5 0-15,0 5 8 0,-1-1-11 0,5-1 3 16,-9 2-6-16,7-3 4 0,-1 3 10 0,-2 0-20 15,4 0 15-15,-3 0-8 0,-1-3 0 0,-3 3 19 16,4-3-15-16,0 2 2 0,-1 1-1 0,1-3-5 16,-1 1 4-16,1-1 3 0,-5 0-2 0,9 3 5 0,-5 0-5 15,-6 0-1-15,11 0 2 0,-8-3 2 0,3 0 1 16,-3 2-3-16,-2-2 0 0,0 1-5 0,2 2 4 16,3 0 2-16,4 0-6 0,-7-1 4 0,-2-1-5 15,5 1 6-15,-2-1 1 0,4 2 1 0,2 2-1 16,-2-2-11-16,-2-3 10 0,-6 0-5 0,3 1 9 15,4 2 2-15,0 0-8 0,-1 0 2 0,1 0-4 16,0 0-8-16,-4 2 13 0,3-2-6 0,-2-2 9 16,0 1 2-16,-1-1-6 0,2 2 4 0,-1 0-7 15,2 0-9-15,-2 3-23 0,-1-3-26 0,1 0 3 16,2 3-58-16,-2-1-48 0,-1 8-28 0,1-4-23 0,-7 0 216 16</inkml:trace>
  <inkml:trace contextRef="#ctx0" brushRef="#br0" timeOffset="1">12856 138 1 0,'-3'5'0'0,"3"-2"0"0,-3 4 0 16</inkml:trace>
</inkml:ink>
</file>

<file path=xl/ink/ink8.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6-27T00:16:48.186"/>
    </inkml:context>
    <inkml:brush xml:id="br0">
      <inkml:brushProperty name="width" value="0.05153" units="cm"/>
      <inkml:brushProperty name="height" value="0.05153" units="cm"/>
      <inkml:brushProperty name="color" value="#ED1C24"/>
    </inkml:brush>
  </inkml:definitions>
  <inkml:trace contextRef="#ctx0" brushRef="#br0">1588 415 761 0,'-10'-11'-31'0,"4"-1"21"0,-1 2-148 0,11 3 88 0,-4 3 28 16,6-1 9-16,3 4 27 0,-5-4 5 0,5-1-20 15,-5 0 19-15,-1-1 1 0,5-1-6 0,-1-1 13 16,-3-2-13-16,-1 1-13 0,0-2 28 0,0 0-20 16,0 4 25-16,-3-2-4 0,0-1-21 0,3 2 4 15,-3 0-16-15,0 0-31 0,-3 3 5 0,3 1-9 16,0 2 10-16,0-1 14 0,-6-2 31 0,0 3 12 0,-1-5 2 15,-5 2 7-15,3-1 24 0,5 1-6 16,-12-3 16-16,10 4 10 0,-3-2-13 0,1-1 9 0,-4-3-11 16,-5-6-12-16,8 6 4 0,-7-3-10 0,3 7 9 15,-2 1-16-15,-1-5-11 0,-10 4 1 0,7-4-3 16,-4 3-13-16,-2 4 15 0,-1-2-12 0,8 4 15 16,-7-2-5-16,-1 4-7 0,0 0 8 0,-3 0-8 15,-5 3-3-15,-2 0 6 0,-6 3-4 0,4-3 8 16,4 0 10-16,-4-2-5 0,5 3 4 0,4 2-7 15,1-3-3-15,-4 4 10 0,0-1-6 0,-7-2 8 0,2 3-11 16,8-1 1-16,-3-2 3 0,3 1-2 0,3-1-5 16,1 2 9-16,3 4-10 0,-3 1 11 0,1-2-9 15,-1 2 3-15,-4-2 6 0,4 6-3 0,3-1 0 16,-4-4-10-16,1 3-1 0,-1 0-1 0,4 1 10 0,3 1-14 16,-4 1 11-16,-2-1-12 0,5 1 5 0,-1-2 8 15,-2-2-10-15,7 1 10 0,-3 0-7 0,-3 2-1 16,6-1 3-16,-3 0-3 0,5-1 1 0,1 2-1 15,-2 0 0-15,0 0-2 0,2 0 7 0,0 1-5 16,3 1 8-16,4-1-8 0,-1-1-2 0,1 3 6 16,0-5-7-16,2 3 7 0,4 0-4 0,-2-2 2 15,4 1 2-15,1 0 0 0,-3-2 3 0,0-1-2 16,4 3-2-16,-1-3 0 0,10 5 0 0,-6-6 6 16,2 5 1-16,-3-5-1 0,5 1-10 0,3 1 8 15,-4-2-5-15,6 1 9 0,3 3-6 0,-6-1-3 16,9-2 2-16,-3-2-4 0,-2 0-8 0,3 1 14 15,-6 0-6-15,6-2 10 0,2 3 1 0,7-4-10 16,-1 2 7-16,1-2-8 0,-1-8-6 0,4 3-1 0,1 1 1 16,3-4 1-16,0 8 21 0,-4-5-16 0,1 0 8 15,-4 5-9-15,2-4 8 0,1 0-7 0,3 1-2 16,-3-2-2-16,-6-2 3 0,8 1 2 0,-5-2 1 16,0 0 0-16,3 3-9 0,-7-3 8 0,4 2-1 15,-3-2 3-15,2-5-7 0,-1 2 12 0,0-2-7 16,5 1 9-16,1 2-16 0,-1-5 7 0,0 1-3 0,-4 0 5 15,1-2 1-15,0 2-2 0,2 0 5 0,1 0-6 16,0-1-4-16,3-1 5 0,-3 1-5 0,-6-1 6 16,5-1 1-16,1 4-4 0,-9-5 6 0,6 6-6 15,-7-4-12-15,-4-3 20 0,11 4-14 0,-3-7 17 16,0 4-6-16,-1-1 1 0,-2-3 1 0,-2 0-1 16,-1-2-4-16,-1 1 5 0,-3 2-2 0,1 1 3 15,-2 1 0-15,1 0-4 0,-3-2 0 0,2 2-2 16,-5-5-5-16,-1 0 6 0,2 2 4 0,-5-2 2 15,0 1 7-15,0 0-1 0,0-1 0 0,-2-2 0 0,2 0-9 16,-5-2-4-16,1-1 3 0,-2 0-3 0,-2-2 7 16,2 2-11-16,-1-1 2 0,-2 2-4 0,0-4 2 15,-1 4 7-15,1-1 5 0,-3 1 1 0,0 4 4 0,3-4-8 16,-3 2-1-16,-2 3 2 0,2-2 3 0,-3 2-5 16,2-3-4-16,-5 2 2 0,2-6 3 0,-6 6-7 15,0 2 2-15,-6-4-4 0,-4 3 2 0,-6 3-12 16,-2-5-3-16,-7 6-1 0,-5 2 0 0,-1 1 1 15,-5 5-15-15,-8 3 3 0,-1 4-54 0,-13 7-47 16,2 7-56-16,-14 8 2 0,2 7-151 0</inkml:trace>
</inkml:ink>
</file>

<file path=xl/ink/ink9.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6-27T00:16:48.187"/>
    </inkml:context>
    <inkml:brush xml:id="br0">
      <inkml:brushProperty name="width" value="0.05153" units="cm"/>
      <inkml:brushProperty name="height" value="0.05153" units="cm"/>
      <inkml:brushProperty name="color" value="#ED1C24"/>
    </inkml:brush>
  </inkml:definitions>
  <inkml:trace contextRef="#ctx0" brushRef="#br0">1692 446 407 0,'0'-11'-35'0,"0"3"21"0,0 2-5 0,7 2 15 16,-11-7 28-16,1 5 1 0,10 0 9 0,-11 0-6 0,8 5-4 15,-11-7 14-15,-3 3-13 0,5-4 14 0,-2 2-16 16,0 1-3-16,1-9 5 0,4 6-5 0,-2 0-10 16,1 2 8-16,0 1-10 0,-7-3 12 0,4 0-3 15,-1 0-7-15,-1-3 1 0,0 6-4 0,2-2 0 16,0-1 6-16,-4 3 3 0,-3-3 0 0,4-2 10 0,-8-1-19 16,0 2 11-16,-3-4-12 0,-3 4 6 0,1-1 13 15,0 2-18-15,-4 0 17 0,4 0-3 0,-3 2-12 16,3 1 15-16,-1-1-17 0,3 4 2 0,4 0 7 15,-5-3-7-15,-5 0 8 0,-3-2-10 0,-3 2-7 16,0 2 8-16,1 1-8 0,2 1 0 0,-3 2 12 16,3-1-12-16,1 1 14 0,-4 0-8 0,0 0-2 15,-4 1 5-15,-4 2-4 0,-2 0 0 0,4-1 2 16,6 1-4-16,1 1 4 0,1 2 7 0,2 0-9 16,2 1 9-16,1-1-11 0,2 0-3 0,4 4 3 15,-4-1-8-15,-2 0 7 0,-3 2 4 0,-1 0 4 16,3-1 5-16,-6 1-2 0,4 1 4 0,6 1-8 0,-6 0-2 15,8-1-1-15,-3 3-2 0,7 1-6 0,-2 1 6 16,3 0-7-16,-2-3-7 0,1-2 20 0,-3 6-16 16,-1-3 19-16,4 3 1 0,-6-1-21 0,3 1 11 15,4 0-15-15,1-3 7 0,5 2 5 0,-1-3-4 16,0 0 5-16,4 0 1 0,-3-2 7 0,3 4-10 16,-1-4 5-16,-3 4-28 0,7-4 24 0,-3 2-3 15,3 1 9-15,0 0-1 0,0 3-5 0,-1 1 8 0,1 0-8 16,0 3-1-16,0-1 8 0,3 0-6 0,0-1 8 15,0-2-3-15,3-2-12 0,-3 3 17 0,3-6-14 16,0 4 12-16,1 1 7 0,1-3-16 0,1 2 14 16,-2 0-9-16,2-1-6 0,4 1 6 0,-1-1-6 15,-2 1 0-15,-1 0 6 0,4-4-7 0,-4 3 5 16,1-1-1-16,2-2-3 0,2 4 3 0,1-5-3 16,-3-1 4-16,7-2-3 0,-4 0 1 0,1 2-2 15,3-4 0-15,3 4 1 0,-2 2 0 0,2-2 1 0,-2-1-8 16,-2 1 5-16,10 0 3 0,0-2 3 15,-2 2 2-15,-4-1-13 0,-5-3 5 0,4 3-5 0,1-1 11 16,7-2 0-16,5 1-2 0,-4 0 1 0,1-2-5 16,-6-2 3-16,-3 3-3 0,6-1 4 0,-1-1-8 0,1 0 7 15,-1-2-9-15,2 1 9 0,3-1 3 16,-3 0-7-16,2 0 9 0,0-1-10 0,1-1-4 0,1-1 10 16,2-1-2-16,-2-1 7 0,-3 1-6 0,2-1 4 15,0-1-8-15,2 0 6 0,-2-1-10 0,2 1 5 16,-5-2 1-16,6 0 0 0,0 1 6 0,-1-3-6 15,-1 1 4-15,-4-2-4 0,-6 0-6 0,3-1 6 16,-1-1-4-16,2 0 7 0,1 0 3 0,3-3-6 16,0 0 1-16,1 0-2 0,0 2-5 0,0-4 11 15,-7 1-8-15,6-2 8 0,-7-7-1 0,3 9-3 16,-1-4 5-16,0-1-6 0,4 11 1 0,-7-9-1 16,-1 2 4-16,0 1-2 0,-6-4 9 0,6 0-11 15,0 4 1-15,-3-2-3 0,0-5-8 0,-4 7 14 16,-5-6-8-16,6 2 11 0,-6 2-1 0,2-6-4 0,4 4 7 15,-1 0-7-15,-2-2 6 0,-3 2-8 0,2-2-1 16,-3 0-2-16,3-2 7 0,-2 1-4 0,0 1 6 16,-2 1-6-16,-1 0-2 0,2 1 3 0,-3 3-3 15,1-5 4-15,-1 2 0 0,-2 0-3 0,-1 0 5 16,0 0-5-16,0-1 3 0,-1 3 10 0,-6-3-10 0,4 0 10 16,-6 5-7-16,5-1-6 0,-5 0 2 0,2-2-4 15,1 2 5-15,0 2-4 0,-1-4-4 0,-2 5 0 16,0-2 5-16,0-1 2 0,-1 4 9 0,-3 1-4 15,6-5 2-15,-2 5-9 0,-1-5 2 0,4 0-3 16,-1 3 5-16,-6-2 0 0,1 2-2 0,-5 0 0 16,5 1-8-16,-7-2 4 0,6 3 3 0,-3-1 3 15,0 0 6-15,3 4-7 0,0-3-6 0,-6 3 3 16,4-1-9-16,-1 0 10 0,3 1 2 0,0 3 2 16,4-1-2-16,-6 1-3 0,-5-1-1 0,3 2 1 15,1-2 4-15,-5 4-2 0,2-1-1 0,-10-1-2 0,1 3 1 16,-4 2-6-16,-7 1 6 0,10 3-6 0,-6 0 8 15,4 2-14-15,-14 2 10 0,-7 4-10 0,-1 2 16 16,-5 3-7-16,4 5-18 0,-3 5 5 0,-7 0-41 0,3 4 7 16,0 0-44-16,1 2 19 0,6 4-99 0,1 5-68 15,-12 0 148-15</inkml:trace>
  <inkml:trace contextRef="#ctx0" brushRef="#br0" timeOffset="1">-3267 458 206 0,'3'0'-128'0,"0"0"65"16,1-3 79-16,2-2 7 0,-2 5 7 0,2 2-8 15,0-2 23-15,-3-2-20 0,4-1 1 0,-4 0 10 16,0-1-10-16,0-1 14 0,-2 2 3 0,2 0-14 16,0-2 3-16,0 1-8 0,0-1-15 0,3 0 8 15,0-2-17-15,0 3 15 0,-2-2-9 0,5-2-4 16,-6 2 10-16,5-3-11 0,-2 3-9 0,0-3 13 16,7 3-13-16,-4 1 14 0,1-4-9 0,6 5 3 0,-6-2 6 15,-1-2-4-15,3 5-3 0,-2-5 7 0,6 4-2 16,0-2 7-16,7-2 6 0,-11-1-5 0,5 0 7 15,-5 0-7-15,1 0-1 0,2 3 3 0,2-2-9 16,5 1 10-16,-3-3 9 0,1 1-16 0,-2-1 11 16,4-1-14-16,1 4 1 0,0-1 7 0,-5 1-9 15,4-3 9-15,-5 3-4 0,-1 1-2 0,6-2 2 0,0 2-4 16,-3-3 2-16,4 0-8 0,2 2 1 0,-2 0-2 16,5 1 9-16,4-1-10 0,3-1 6 0,0 1-8 15,0-1 2-15,6-1 4 0,2 0-4 0,-3 0 4 16,2 1 5-16,0 1-5 0,-8-2 8 0,8 1-9 15,-3 2-10-15,-2-2 16 0,1 2-13 0,-6-2 15 16,-3 0-13-16,2 2 4 0,-2-2 4 0,3 2-2 16,0 0-6-16,0 0 7 0,6 0-9 0,-2 1 9 0,-1-1 5 15,-4 3-7-15,1-3 5 0,3 1-8 0,-6 2-6 16,2-1 12-16,-2 1-6 0,3 0 8 0,8 0 2 16,-4-2-9-16,3 2 8 0,-4 0-10 0,-3 2-1 15,3-1-1-15,-2 1-1 0,5 1 3 0,-1-2 15 0,2 2-8 16,-1 0 5-16,0 0-7 0,-3 0-9 0,8 0 9 15,-3 0-7-15,1 0 9 0,7 2 7 0,-7-1-14 16,2 1 10-16,-5-1-11 0,-3 2 3 0,-4-1 2 16,-2-1-5-16,-3 3 5 0,6-3 10 0,-4 2-10 15,1-1 9-15,3 1-10 0,-6 1-10 0,2-3 14 16,1 4-10-16,-1-2 13 0,-5 0 0 0,12 3-7 16,-6-1 5-16,3-1-7 0,-1-1 3 0,-2 2-2 15,-4 1-2-15,-3 0 1 0,-2-1 7 0,3-1-5 16,2 2 8-16,-6 0-8 0,3 0 1 0,1 0 0 15,2 0-6-15,4 0 5 0,-4-1 10 0,0 1-13 16,-2 2 7-16,2-2-9 0,2 1 1 0,-2 1 6 16,-3-2 0-16,-3 0 3 0,-4 1 1 0,5-1-7 0,0 0 4 15,5 1-3-15,-9-1 3 0,11 0-3 0,-7 0-4 16,-1-2 3-16,4 2 4 0,-1 1-3 0,-3-3 3 16,-3 1-3-16,3-2-1 0,-7 2 3 0,-2-2-5 15,1 2 6-15,-2 1 5 0,3 0-7 0,4-3 6 16,-9 2-6-16,6-2 0 0,-6 1 1 0,1 3-6 0,1-3 3 15,1 2-2-15,-3 0-4 0,2-1 14 0,-3 2-10 16,-2-1 9-16,2 2 1 0,-3-4-8 0,-2-2 5 16,-1-1 6-16,0 1-9 0,0-1 6 0,3 6-7 15,0-6-8-15,-3 1 23 0,0-2-10 0,0 0 16 16,0-3 7-16,0 1-5 0,0 2 11 0,0 0-12 16,0 0-7-16,0 0 0 0,-6-5-12 0,3 1 10 15,-1-4-3-15,-3 1-5 0,1-2 10 0,-3 3-10 16,3-2-5-16,-5-1 4 0,2-2-9 0,4-1 9 15,-5 0 3-15,0-3-7 0,3 3 12 0,-5-3-11 0,-1 0 2 16,4 2 9-16,-1 0-10 0,-3 1 11 0,4 3-5 16,-8-2-5-16,-1 2 2 0,-7-2-5 0,-4 2-11 15,3 0 13-15,-3-1-7 0,1 1 9 0,-1 0-3 0,-3-1-3 16,-3 0 7-16,7 2-6 0,8-3-3 16,-9 2 13-16,14 1-13 0,-8 2 13 0,3-1-12 0,3 1-6 15,-3 2 10-15,4-4-9 0,-3 4 0 0,2-3 5 16,2 1-7-16,-2 0 8 0,1-1 9 0,-5 2-17 15,-2-2 16-15,2 1-17 0,-5 1 11 0,0-2 3 16,-2 5-11-16,-1-1 9 0,-7 2 0 0,2 1-8 16,-5-4 11-16,4 3-10 0,9 1 5 0,-6-2-5 15,8 2 1-15,-5 0 1 0,3 0 19 0,-3 3-15 16,0 1 1-16,1-1-6 0,0-3-1 0,2 0 24 16,0-2-18-16,-2 2 16 0,-4 0-33 0,0 3 18 15,-1-1 5-15,0 1 1 0,0-2-12 0,-2-1 10 16,-1 2-12-16,2-1 14 0,5 1-5 0,0-1-3 15,-3 4 5-15,7-4-7 0,-3 4-8 0,-1-3 13 0,7 2-8 16,-4 0 11-16,7-2-3 0,-3 2-7 0,3-1 4 16,-1-1-8-16,4 1-2 0,-3 0 6 0,0 0-2 15,3 3 3-15,-3-1 0 0,1-1 5 0,-5 1 3 16,-3-2-2-16,0 1-4 0,-2-1 3 0,6 1-1 16,-3-1 2-16,1 0 3 0,2 1-4 0,-12 2 1 15,5-2-1-15,0 1-4 0,-3 3 3 0,19-2-3 0,-14 0 5 16,3-2 9-16,-4 1-10 0,-7-1 4 0,10 1-8 15,-1 0-10-15,0-2 14 0,4 0-1 0,-1 1 5 16,1-1 4-16,7 3-8 0,-5-3 4 0,-2-1-4 16,-1 1 0-16,-6 0 0 0,-2 0-4 0,2 0 4 15,1 1 6-15,2 1-10 0,0-1 5 0,2 3-7 16,-6-3-3-16,-2 1 14 0,4-2-10 0,0 1 12 16,2-1-4-16,0 0-3 0,4 2 8 0,2 0-8 15,-2-1-8-15,4-1 10 0,-1-2-9 0,-4 2 12 0,7 0 2 16,-4 0-7-16,-2-1 4 0,4-1-6 0,-2 2-3 15,-2-1 6-15,3 0-1 0,-3 2 3 0,-1-1 1 16,0 2-3-16,-1-1-2 0,-2 1-1 0,1 1-4 16,2 0 8-16,-3 0-5 0,8-1 5 0,-5-2 12 0,1 1-25 15,9-1 17-15,-3 1-20 0,7 1 8 0,-1-2 6 16,3 2-6-16,-2-1 6 0,3 1 1 0,-7-1-4 16,7 2 3-16,0 1-6 0,-1-3-7 0,4 7 13 15,-13-7-4-15,4 5 8 0,-2-3-3 0,-2-1 3 16,3 2-2-16,4 1 0 0,-1 1-18 0,-2 0 23 15,-4-3-11-15,3 7 15 0,3-3-14 0,1-1-3 16,2 2 8-16,-2-4-6 0,5 5-3 0,-2-2 5 16,0-1-8-16,-1 0 10 0,1 4 6 0,3-2-6 15,0-4 4-15,0 1-6 0,-3-5-7 0,2 5 11 16,0-4-3-16,2 4 6 0,-1-2 0 0,0-1-4 16,0 3 2-16,0-3-2 0,3-4-1 0,-6 2 4 0,6 0-4 15,-1 0 5-15,1-3 7 0,0 0-11 0,0 0 5 16,0 0-8-16,0 0-5 0,0 0 7 0,0 2-2 15,0-1 5-15,0-1-1 0,0 0 10 0,0 0-3 16,0 0 3-16,0 0-14 0,3-1 15 0,1-4-11 16,2 4 11-16,2-2-17 0,5-2 6 0,-3-1 0 15,7-4 1-15,4 1-18 0,2-3 12 0,9 2 0 0,-4 0 4 16,-2-1-1-16,3 2-5 0,-4-6 1 0,7 6 0 16,3-2 2-16,3-4 2 0,4 4-9 0,-5-4 8 15,2 2 2-15,3 1-8 0,-2-3 10 0,-4 1-11 16,2-3-1-16,1 4 7 0,-1 1-7 0,3-1 8 15,4 1 1-15,-7 0-5 0,8 0 6 0,-6-4-5 16,-2 3 4-16,10-2 0 0,-6 1-8 0,0 2 8 16,-1-1 8-16,0 2-9 0,3 2 8 0,-5 0-12 15,3 0-9-15,-7 1 13 0,6 1-7 0,4-1 10 16,-4-1 4-16,7 2-8 0,-3 1 8 0,-5-2-8 16,6 2-1-16,-2-2 0 0,-6 2-4 0,7 0 5 0,1 0 10 15,-6 0-9-15,8 3 5 0,-12 0-9 0,1 1-7 16,-2 2 15-16,-3 0-7 0,-3 0 10 0,2 0-1 15,-2 2-8-15,3-2 9 0,-3 1-9 0,-1 1-3 16,4-1 10-16,0 2-12 0,-3 2 14 0,2 0-4 0,-5-4-2 16,3 2 4-16,3 0-5 0,-3 0-7 0,-1 2 12 15,4-2-6-15,-6 0 8 0,3 0-5 0,-5-2-1 16,-4 3 0-16,5-3-1 0,-5 2-7 0,8 0 11 16,-5 0-6-16,2 0 8 0,3 0 3 0,-2 0-12 15,0 0 7-15,-4 3-9 0,3-1-2 0,1-1 11 16,3 2-10-16,3-1 11 0,-11 1 1 0,5 0-6 15,-3 2 3-15,0-2-6 0,2 0-9 0,-9 0 7 16,2-1 2-16,-5-1 2 0,4 2 11 0,1-2-9 16,1-1-8-16,-2 2 0 0,2-1-4 0,-1 1 8 15,-2 1 1-15,3 0 0 0,-3 0 1 0,1-3-8 0,6 3 7 16,-8-1-10-16,2 1-10 0,-3 0 25 0,-1 1-10 16,0 1 16-16,4-2-5 0,-5 3-12 0,8 0 15 15,-11-3-15-15,7 1 12 0,-6-4 4 0,-1-2-8 16,6 4 6-16,-8 1 1 0,2-2-2 0,1 2 2 15,-3-3-4-15,5-1-1 0,-2-1 7 0,3 1-6 16,-1-2 6-16,-2 3-1 0,-3-3-2 0,-7-2 10 16,6 2-9-16,0-1-3 0,-6 1 5 0,9 0-10 0,-5 1 9 15,2-1-6-15,0 0-1 0,0 0 4 0,-2 0-5 16,0 0-11-16,1-3-11 0,-1 2-54 0,2-2 18 16,4-2-139-16</inkml:trace>
  <inkml:trace contextRef="#ctx0" brushRef="#br0" timeOffset="2">-2793 1100 1 0,'0'0'0'0,"0"0"11"15,0 0 6-15,0-2 4 0,0 2 37 0,-2-3-16 16,2 3 9-16,0-1-13 0,0 1-16 0,0 0-1 15,0 0-10-15,2-3 9 0,2 0 4 0,-4 1-15 16,0 2 16-16,6-1-17 0,-6-1 7 0,3-1-4 0,-3 0-5 16,4 1 4-16,-4 2 8 0,4-7-1 0,-1 6 7 15,-3-8-6-15,3 6-2 0,0-1 1 0,0 1-14 16,0 3 12-16,3-4-2 0,-6-2-10 0,7 1 9 16,-3 4-11-16,-1-4 3 0,-1 5 3 0,-2-3 4 15,1 0 0-15,-1 3 15 0,2-6-17 0,-1 6 7 0,-1 0-10 16,0 0-2-16,3-5 9 0,-3-1-14 0,0 5 12 15,0 2-5-15,0 1-6 0,0-2 12 0,0 0-12 16,0 0 3-16,0 0-1 0,0 0-7 0,0 0 5 16,0 0 5-16,0-3-4 0,0 4 7 0,0-1-8 15,0 0-6-15,0 0 11 0,0-1-5 0,0 2 10 16,0-1 1-16,0 0 0 0,0 0 5 0,0 0-5 16,0 0-7-16,0 0 8 0,0 0-9 0,0 0 10 15,0 0 7-15,0 0-12 0,3 0 12 0,-3 0-13 0,6-6 0 16,-6 6 6-16,4-2-4 0,0-1 7 0,-1 1 6 15,0-1-13-15,-3 3 5 0,6-5-7 0,-3 2 7 16,0 3 0-16,3-1-3 0,0-1 2 0,-2 1 2 0,-1-4-9 16,0 5 8-16,3-1-10 0,-3 1-4 0,4-3 8 15,-1-4-9-15,-2 4 8 0,2-4 1 16,-3 2-7-16,3 2 10 0,2-1-10 0,0 1 1 0,-1 3 1 16,-1-3-2-16,4-1 5 0,-4 1 10 0,1 1-16 15,-1 0 6-15,1 2-10 0,1-1-1 0,-1-2 7 16,2 0-7-16,4 0 8 0,-3 0 4 0,3 1-6 15,0-1 4-15,-1 0-7 0,-1-2-10 0,-2-1 20 16,3 3-8-16,0-1 10 0,1 4-11 0,-2-2 3 16,-2 1 2-16,6 1-1 0,-1 0-11 0,-2 0 11 15,1 0-3-15,-3 0 7 0,-4 0 2 0,7 1-8 16,-6 1 5-16,1-1-6 0,6-1 0 0,-5 0 0 16,-3 0-4-16,4 0 4 0,2 2 3 0,1-2-3 0,4 0 3 15,-2 3-3-15,-5-3 6 0,-3 1-8 0,2 4 3 16,4-2-4-16,-1 0 5 0,1 0-7 0,-4-1 8 15,-2 1-7-15,2-2 3 0,1 1 6 0,0-1-8 16,2 1 9-16,1-2-4 0,-3 3-1 0,3 1 0 16,-4-4-1-16,0 7-8 0,1-3 7 0,-3-3-5 0,-1 5 6 15,6-3 7-15,-2 2-6 0,-3-1 5 0,2-1-7 16,1-1 0-16,-1-1-1 0,-2 2-3 0,2 2 3 16,-1-2 9-16,-1 0-6 0,0 0 6 0,-1-3-7 15,4-1-4-15,-1 1 5 0,-2 0-2 0,-1 0 3 16,5 0 3-16,-2 1-5 0,0 1 7 0,1-1-7 15,-3-1-9-15,-1 0 13 0,7 6-10 0,-3-6 14 16,-2 3-1-16,9 2-4 0,-2-5 4 0,-2 2-5 16,0-2-2-16,-7-2 1 0,1 0-3 0,0 4 4 15,2 1 8-15,4-3-8 0,-4 2 7 0,-5-4-9 16,5-1-1-16,3 3 0 0,-2 0 1 0,6 0 0 16,-6 0 9-16,-4-5-9 0,3 4 3 0,10 1-5 0,-6 0-1 15,4 0 3-15,-1-2 0 0,-2 4 3 0,-4-4 4 16,6 2-7-16,-3 2 6 0,-2-4-6 0,1 2-8 15,-3 0 16-15,7 0-13 0,0-3 15 0,3 0-9 0,3 0 4 16,-3 3 5-16,-2-3-4 0,3 5-7 0,-8-4 6 16,0 1-5-16,4-1 8 0,-7-2 5 0,7 4-5 15,-3-4 8-15,0 3-8 0,0-1 5 0,0 1-10 16,0-2-3-16,6 3 0 0,-7 0 16 0,4-2-16 16,-3 1 10-16,3-1-12 0,3-1 7 0,1 2-4 15,-2 1 28-15,2-2-21 0,-2 1-4 0,-2 2-3 16,3-1-19-16,-6-4 20 0,4 1 0 0,-8-2 10 15,8 3-11-15,-2 2 10 0,1 0-11 0,-1-3 4 16,-1 1 1-16,1-1-1 0,-1 0-2 0,4 1 0 16,2-1 0-16,-1 2 0 0,0-4 2 0,-3 2-3 15,-4 2 2-15,5-1-2 0,1 2 7 0,-1-2-6 16,1-1-1-16,-2 0-1 0,-3-1 2 0,0 4-2 0,-1-2 12 16,2 2-10-16,-2 0-6 0,1-1 11 0,3 1-12 15,1-2 14-15,-5-1-2 0,4 0-3 0,-1 2 0 16,1-2-1-16,0 1-5 0,3 2 1 0,-9-3-3 15,6 3 4-15,-3-2 10 0,3 2-9 0,-1-1 6 16,-2 1-7-16,-4-2 0 0,1 1-2 0,6-2 0 16,-3 3 0-16,3-2 7 0,-3 2-5 0,-7 0 0 15,5 0-2-15,4 0-3 0,-7 2 7 0,9-2-4 0,-1 1 4 16,-3-1-3-16,-1-1 1 0,7 1 4 0,-12-3-4 16,10 3-5-16,-5 1 6 0,0-1 2 0,1 0 2 15,-4-1 0-15,5-1-5 0,1 2-3 0,1 3 1 16,0 2 7-16,3-1-14 0,-2 0 8 0,-2 0-9 15,-2 1 22-15,3-2-17 0,-4 1 8 0,1-4-9 16,0 5 10-16,4-4-1 0,-2-1-6 0,4 3 4 16,-3 0 2-16,3 1-2 0,-2-1 6 0,-2-2-7 15,-5 1-7-15,9-2 10 0,-2 3-5 0,-2-3 9 16,10 1 8-16,-9 1-22 0,-3-2 8 0,6 3-12 16,-9-2 13-16,12 2-5 0,-3 3 4 0,0 2-3 0,7-2 2 15,-7-3 3-15,6 0-4 0,-2 1 1 0,-3-1-6 16,1 2 6-16,-6-4-4 0,-5 3 4 0,4-1-2 15,-2 0 2-15,8 1 4 0,-5-1-4 0,5 2-2 0,-1-1 2 16,-4 1-1-16,5 0 3 0,-2-3 4 0,-1-2-3 16,2 0-3-16,0 0 0 0,3 3 1 0,0 0-1 15,-6 3 0-15,7-4-1 0,-14-1 5 0,10-1-4 16,0 0-2-16,-3 5-2 0,4-5 4 0,-5 0 0 16,-2 5 6-16,-3-7-6 0,2 4 1 0,2 1 0 15,-5-3 0-15,7 3 0 0,-10-3-4 0,3 0 3 16,-3 0-1-16,1 0 1 0,-3 0-11 0,2 1-10 15,0 1-6-15,0-2 0 0,-2 0-20 0,0 0 0 16,-4-2-18-16,3 1 9 0,2-4-23 0,-1 2-21 16,5 0-11-16,-2-3-5 0,3 1-26 0,2-1-56 15,1-2 120-15</inkml:trace>
  <inkml:trace contextRef="#ctx0" brushRef="#br0" timeOffset="3">35 1214 79 0,'-3'-8'11'0,"0"5"60"15,-1-3-19-15,1 0-24 0,1-2-105 0,1 4 58 16,1 1-2-16,0-4 23 0,0 4 30 0,0-1-21 15,-3-1 10-15,3 1-14 0,0-4 12 0,-4 1 1 16,4-4 2-16,-3 4-2 0,0-4 2 0,3 0-2 16,0 4 3-16,0-4-4 0,0 5-13 0,0-1 14 0,0-2-18 15,0 7 17-15,0 2-14 0,0-1-10 0,0-4 5 16,0 5-11-16,3 0-4 0,-3 3 15 0,3 3-6 16,1-3 10-16,2-3-3 0,-2 2 7 0,1-1 8 15,-1-1-5-15,5 3-4 0,4 0 25 0,-3 1-19 16,9-4 20-16,-3 0-15 0,6 0-14 0,4 2 7 15,0 1-11-15,-4-2-10 0,7 1 15 0,-2-2-6 0,-1 0 9 16,9 0-2-16,-6 0-1 0,0 0 3 0,6 0-5 16,-2 2-6-16,5 2 9 0,-4-4-4 0,-2 2 8 15,-3 1-3-15,0-2 4 0,2 5-4 0,4-1 1 16,-3-2-20-16,4 1 14 0,-12 1-2 0,8 1 7 16,-6 0 7-16,6 2-14 0,3-4 6 0,-3 4-9 15,7-4 0-15,-7-1 6 0,-4 0-6 0,4 0 6 16,-1-1 0-16,2-2-4 0,4 4 1 0,2-4-4 15,2 3-11-15,-9 1 5 0,-4 0-8 0,1 2 6 0,0-1-5 16,1-1 1-16,4 1 7 0,-5-2-6 0,-1 2-1 16,-4-2 15-16,1-2-15 0,-1 2 16 0,-1 0 0 15,3-3-7-15,0 0 16 0,2 1-14 0,-3-1-1 16,0 0 9-16,-2 0-12 0,-1-4 13 0,-2 0 2 0,-1-1-10 16,0 0 9-16,-7 1-11 0,4 1-2 0,-9-3 25 15,-1 0-21-15,0 3 21 0,1 0-15 0,-4 1 7 16,1 0 15-16,-2-1-11 0,-1 0-5 0,-1 0 13 15,-3 2-14-15,-1-1 14 0,-2 1-13 0,-4-2-15 16,-2 3 9-16,-5 0-11 0,-5-2 4 0,4 2 14 16,-5 0 3-16,0-3 7 0,8 2 8 0,-11-2-12 15,13 1 2-15,-8-1-3 0,-9 2 7 0,8 2-4 16,-17-1-5-16,10 0 2 0,1 0 5 0,-7 5-13 16,4-2 9-16,-11 0-10 0,7 3 0 0,-3-3 0 15,0 1-11-15,-1 2 7 0,-3-2 3 0,-2 2 1 16,3-2 6-16,0-1-6 0,5 0-8 0,-2 0 1 15,6 0-1-15,-3 0 2 0,-6-1 10 0,2 1-9 0,-5-1 4 16,8-1-7-16,6-1-2 0,-6-1 6 0,3-1-2 16,-2-1 3-16,1 3 2 0,5-2-5 0,-7 1 6 15,2 2-6-15,-1 1-13 0,-7-1 22 0,3 4-15 16,3-2 17-16,4 3-11 0,5-3 0 0,-1 0 4 16,6 0-3-16,-1 0-11 0,4 1 15 0,3 0-10 0,1-1 12 15,-2 0-5-15,4-2-1 0,-3 1 7 0,7-2-7 16,-4 0-2-16,4 0 4 0,6 0-6 0,0 0 8 15,3 0 3-15,0 0-11 0,-1 0 2 0,-1 0-9 16,2 0-18-16,0 0 16 0,-1 3-11 0,4-2 13 16,4-1 2-16,2 3 5 0,7-1 6 0,4-1-3 15,5-1 3-15,3 0 3 0,5 0-5 0,-6-3 3 16,13 2 4-16,1-2-14 0,-3-2 11 0,10 1-13 16,0-4 0-16,-4 2 12 0,7 0-6 0,-6-3 10 15,3 1 10-15,3-1-22 0,-3 2 17 0,9-1-21 16,1 0-6-16,-2 2 15 0,-4-1-17 0,-5 1 20 15,-1 0 9-15,4-2-7 0,0 1 0 0,-4 4-6 0,-2 0-18 16,-9-2 19-16,10 5-9 0,-4 0 11 0,0-3 0 16,4 3-5-16,-9 0 9 0,-5-1-10 0,4 1-14 15,-9-2 9-15,3 0-9 0,-3 1 13 0,-4 1 12 0,-1 0-14 16,-4 0 11-16,-1 0-13 0,-1 0 6 0,-2 1 5 16,-2 1-8-16,-2-2 8 0,-9 0 3 0,3 0-9 15,-3 0 10-15,0 0-11 0,0 3-2 0,-3-1 11 16,-10 2-6-16,-3-1 10 0,-3 2 3 0,-1 1-5 15,-5-2 4-15,-6 4-6 0,2-2-3 0,-6-3 9 16,5 0-3-16,0 1 5 0,-3-2 3 0,-2 1 0 16,-1 0-6-16,-1-3 2 0,1 0-16 0,5 0 19 15,-2 0-5-15,3 0 10 0,-9-2 2 0,-6 1-7 16,1-4 10-16,-1 2-10 0,-4 2 1 0,5-1 0 16,-4 2-14-16,-9-1 10 0,6 1-3 0,-10 1-7 15,-1 2 9-15,1 0-10 0,-3 0-5 0,-4 4 6 16,8-4-3-16,-1 3 3 0,7 0-1 0,10-2 9 0,12-1 1 15,3 0 1-15,4-1-19 0,9 3 6 0,-6-1-11 16,2 3 11-16,5-2-3 0,-5-1 9 0,1-1 4 16,4 0-1-16,-2 1-9 0,7-3 2 0,1 1-5 15,-1-1 5-15,4 2 9 0,3-1-10 0,2-1 5 16,-2 1-9-16,3-2-7 0,0 0 12 0,0 0-11 16,0 0 11-16,0 0-5 0,0 0-5 0,4 0 8 0,5-2-8 15,7 1-1-15,0-2 14 0,13 1-13 0,2-1 13 16,11-2-7-16,3 2 2 0,-7-1 2 0,13 1-2 15,-5-3-15-15,7 0 17 0,8 0-9 0,-11-2 11 16,8 4 2-16,-4-5-4 0,-2 1 8 0,2-1-8 16,6 0 0-16,-6 0-2 0,3-3-4 0,-2 4 5 15,-14-1 8-15,7 1-7 0,3 2 6 0,-4-1-7 16,5 2-2-16,-8-4 3 0,-2 0-7 0,-1 4 6 16,-2 1 4-16,1 4-2 0,-1 4 5 0,-4-5-5 15,1-5-7-15,-5 3 6 0,2 2-8 0,-5 1 8 0,-3 1-4 16,0 1 5-16,-2-1 4 0,-7-1-3 15,0-1-12-15,-3 1 10 0,-3 1-9 0,-4-1 10 0,3 6-1 16,-6-6-3-16,1 0 1 0,-4 0-5 0,0 0-8 16,0 1 13-16,-4 4-2 0,-5-4 5 0,-1 4 10 0,-3 1-11 15,-8-4 7-15,-2 2-9 0,-2-1-4 0,-4-1 11 16,3 2-10-16,-6 1 11 0,3-2 0 0,-2 0-2 16,-5-3 13-16,4 0-12 0,-5 2-2 0,5-1 7 15,0-1-10-15,3 0 12 0,-3 0 12 0,-3-1-11 16,-6-1 13-16,-1 2-14 0,-2-2-1 0,-4 2 3 15,3 0-9-15,-3 0 8 0,-3 0-4 0,-5 0-7 16,-3 0 5-16,6 0-7 0,5-1-3 0,12 1 6 16,4 0-7-16,4 3 5 0,6 0-16 0,3 2-30 15,2 4-14-15,5-2-5 0,-8 2-51 0,3-1-33 16,0-4 83-16</inkml:trace>
</inkml:ink>
</file>

<file path=xl/ink/ink10.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6-27T00:16:48.191"/>
    </inkml:context>
    <inkml:brush xml:id="br0">
      <inkml:brushProperty name="width" value="0.05153" units="cm"/>
      <inkml:brushProperty name="height" value="0.05153" units="cm"/>
      <inkml:brushProperty name="color" value="#ED1C24"/>
    </inkml:brush>
  </inkml:definitions>
  <inkml:trace contextRef="#ctx0" brushRef="#br0">0 18 1 0,'3'1'0'0,"0"-1"0"0,0 0 0 0,4-3 2 16,0 3 6-16,-1 2 0 0,3 2 28 0,2-2-9 15,-3 2 12-15,-2-4-10 0,4 0 7 0,0 7-10 16,-1-9-4-16,4 7 3 0,-1 1-2 0,-2-3-10 16,4 7 2-16,-5-6-6 0,0-1-10 0,2 3 7 0,0-3-9 15,2 1 9-15,3 1 0 0,-3 1-2 0,3-1 10 16,6-1-11-16,-6-1-6 0,9 0 8 0,4 0-10 16,-3 0 12-16,-1-3 1 0,4 5-2 0,-3-1 7 15,5-2-7-15,4 1-12 0,-4-3 23 0,2 0-15 16,-1-1 21-16,-3 1-5 0,-2 0-7 0,0-2 8 0,4 5-11 15,1-1-13-15,-6-2 12 0,0 1-10 0,-1-1 13 16,0-1 3-16,0 1-1 0,4 0 8 0,0 1-7 16,-3 1-3-16,4-5 4 0,0 3-5 0,-2-5 5 15,2 2-7-15,-2 1-2 0,-6-1-1 0,7 3-1 16,-4 0-11-16,1-1 8 0,-1 1-5 0,1-2 7 16,-1-2 8-16,1 2-12 0,-2 1 6 0,5-1-10 15,-3 1-2-15,-3-2 9 0,3 3-9 0,-5 0 9 16,1 1 2-16,1-1-5 0,6 0 14 0,-3 0-12 15,1-3 6-15,0 3-9 0,1 2-5 0,-2 1 3 16,-2 0 16-16,-1-3-14 0,0 0 10 0,3 0-13 0,-1 0-6 16,6 6 16-16,-6-5-14 0,-2 1 16 0,3-1 2 15,-5-1-10-15,-5 2 10 0,4-2-11 0,-1-3 6 16,0 1-1-16,3 1-2 0,-3-1 3 0,0 4 5 0,1-2-5 16,-1-3-3-16,-3 3-2 0,6-3-4 0,-4 3 9 15,2 0 1-15,0 0 2 0,-2 3 4 0,2-2-7 16,0-1 8-16,3 0-9 0,-7 0 0 0,1-3 3 15,5 0-5-15,-3 3 5 0,-3-1 2 0,1 1-1 16,-6-2 7-16,9 2-7 0,2 0-8 0,1-4 16 16,-4 2-16-16,1-6 16 0,4 5-15 0,-2 3-2 15,-2-3 5-15,5 2-2 0,-5-5 0 0,-2 3-1 16,4-2 1-16,-6 0-1 0,4 1 4 0,-1-1-3 16,0-1 5-16,-3 6-5 0,3-4-9 0,3 4 12 15,-2 0-8-15,-1-2 10 0,0-1 5 0,-1 2-11 16,-2-1 7-16,4 2-10 0,2 2-1 0,-9-4 9 15,4-1-7-15,-2 3 7 0,-3 0-8 0,4 0 8 16,-3 0-4-16,3-2 4 0,-10-1-5 0,8 2 2 16,1 1-4-16,-12-3 3 0,17 4 5 0,-5-1-8 0,-12-4 3 15,7 4-8-15,-1-5-16 0,-6-2-1 0,10 7-25 16,-12 0 7-16,5-3-74 0</inkml:trace>
</inkml:ink>
</file>

<file path=xl/ink/ink11.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6-27T00:16:48.192"/>
    </inkml:context>
    <inkml:brush xml:id="br0">
      <inkml:brushProperty name="width" value="0.05153" units="cm"/>
      <inkml:brushProperty name="height" value="0.05153" units="cm"/>
      <inkml:brushProperty name="color" value="#ED1C24"/>
    </inkml:brush>
  </inkml:definitions>
  <inkml:trace contextRef="#ctx0" brushRef="#br0">1818-142 120 0,'-3'2'-14'0,"3"-2"-91"0,0 0 105 0,0-2 0 16,3 4 0-16,-3 4 0 0,3-3 0 0,-3 0 0 15,0-2 0-15,3 1 0 0,1 1 0 0</inkml:trace>
</inkml:ink>
</file>

<file path=xl/ink/ink12.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6-27T00:16:48.193"/>
    </inkml:context>
    <inkml:brush xml:id="br0">
      <inkml:brushProperty name="width" value="0.05153" units="cm"/>
      <inkml:brushProperty name="height" value="0.05153" units="cm"/>
      <inkml:brushProperty name="color" value="#ED1C24"/>
    </inkml:brush>
  </inkml:definitions>
  <inkml:trace contextRef="#ctx0" brushRef="#br0">4653 213 330 0,'0'-2'19'0,"-3"1"46"15,-3-1-78-15,3 2 13 0,2 0-6 0,1 0 6 16,0 0-22-16,0-1 4 0,-7-1-10 0,7-1 12 16,8-2 14-16,-8-1 1 0,3 0 14 0,-6-1-10 15,-5-3 9-15,5 3 15 0,0 1-7 0,-3-3 11 16,0 2 12-16,3-1-23 0,-5 2 14 0,8 1-17 15,-3 1-1-15,0-1 3 0,-3-3-8 0,3 5 7 16,0 0-6-16,0 0 5 0,0 2 10 0,-1-2-4 16,-2 0-1-16,3 0 5 0,-3-2-12 0,-1 2 13 0,-3 0 4 15,1 1-17-15,0 2 11 0,-1 0-14 0,3-1-6 16,-2 1 3-16,2 0-8 0,-3 1 8 0,1 1-5 16,3-1-5-16,-3 1 2 0,-1-2-3 0,1 0 1 15,0 1 4-15,-2-1 0 0,2 0 3 0,5 2 7 0,-2-2-7 16,-4 0 6-16,4 2-6 0,2-2 3 0,-4 0 8 15,-3 0-6-15,2-2 7 0,3 2-12 0,0 0-3 16,-4 0 1-16,1-2-2 0,0 2-3 0,-2-1 16 16,2 1-4-16,3 0 11 0,-4-2 3 0,0-1-13 15,4 2 8-15,-3 1-11 0,1 1-1 0,2-1 6 16,-3-1-14-16,3-1 11 0,-4 2 1 0,-2 0-10 16,-1 2 15-16,3-1-16 0,0-1 4 0,-2 3-6 15,-4-3-6-15,3 2 3 0,0-1 4 0,-2 3 0 16,5-1 3-16,-3 0-3 0,-3-2-5 0,-2-1 10 15,-2 3-8-15,8-3 10 0,-4 0 4 0,7 0 3 16,-5 2 2-16,4-2-3 0,1 1-10 0,-4-1 9 0,7 0-5 16,-6-1 6-16,1 1 0 0,-1 0-13 0,-2 4 7 15,3-1-9-15,-2 0 2 0,0 4 1 16,-2-4-2-16,-2 0 1 0,2 1 3 0,-2 1-1 0,1-2 4 16,1 3-2-16,-1-1 19 0,0-1-25 0,3 3 19 15,-3-4-21-15,3 0 11 0,-3 0 9 0,-3 0-13 16,3 0 11-16,-3 0-17 0,3-1 11 0,0 1-8 0,4 0 9 15,-8 0-3-15,5 0-6 0,-5 0 6 0,1 2-6 16,1-1 1-16,1-1 0 0,4 2-5 16,-6-2 2-16,7 2-2 0,-4 1 7 0,0 0 0 0,3-2 1 15,3 1-8-15,-6-2 6 0,6 2-3 0,-9-2 4 16,5 1-2-16,0-1-1 0,-2-2 6 0,0 2-6 16,4-1-4-16,-1-2 9 0,0 1-9 0,1 1 9 15,-2-1-6-15,5-1 1 0,-3 2 6 0,2-2-3 16,0 0-5-16,-3 0 8 0,4 0-4 0,-1 0 7 15,0 0 0-15,1 0-6 0,2 0 4 0,-5-2-4 0,3 2-2 16,-3 0 12-16,-2 0-9 0,-1 0 10 0,1 0-16 16,1 2-6-16,-3-2 10 0,3 0-5 0,-2 0 10 15,3 0-2-15,2-2-8 0,-3 2 5 0,1 0 4 16,-5-1-5-16,4 1 8 0,-3-2-9 0,7 1-1 0,-1-2 7 16,1 1-9-16,0 1 9 0,-3-1 3 0,1 1-9 15,-1-3 10-15,5 1-10 0,-18 0 10 0,11 1-6 16,-2-1-10-16,-5 0 4 0,14 1 0 0,-9-1 7 15,4 0 14-15,-4 0-10 0,6 0 0 0,-2-1-11 16,-2 1 5-16,4-2-5 0,-4 2 8 0,1 0 1 16,-3-2-5-16,3 1 5 0,-3-1-7 0,0 2 5 15,0-3-2-15,0 3 4 0,4-2 7 0,-1 1-9 16,0 1 4-16,0 0-7 0,1-2 1 0,-2 1-2 16,1 1-1-16,-2 0 1 0,3 0-1 0,-4 1 1 15,-3-1-2-15,-4 0 1 0,4 0-6 0,0 2 6 16,0-1 0-16,0 2 3 0,-3-3 1 0,-1 2-4 0,4-2-2 15,-3 1-1-15,3 1 0 0,-1 1 7 16,-4-2 0-16,1-1 1 0,-3 3-9 0,4-3 3 0,0 3 2 16,-1-3 1-16,-2 0 8 0,-1 1-14 0,1-1 5 15,3 0-7-15,-1 3 10 0,1-1-4 0,-1-2 0 16,6 1-2-16,-4 1 6 0,-1-2-6 0,0-1 7 16,-3 1-7-16,3 2 5 0,-4-4-1 0,6 4-4 0,1-2 2 15,-3 0 3-15,-1 0-7 0,6 0 4 0,-7 1-5 16,5-1 9-16,1 1-5 0,-5-5 1 0,10 6-3 15,-2-2-9-15,-2 0 14 0,5 0-2 0,-8-2 8 16,5 5 4-16,-2-3-12 0,1 3 0 0,1-1-4 16,3-1 6-16,2-1-2 0,-3-3 0 0,3 1-1 15,-6 4-4-15,-3-1 1 0,-1 2-8 0,-4 0 3 16,-2-1-21-16,0 1 18 0,4 3-3 0,-3 0 9 16,3 0 10-16,6-2-3 0,-3-1 6 0,2 0-5 0,1 0 3 15,-3 0-5-15,8 0 2 0,-6-1-2 0,4-2-4 16,0 0 3-16,1 1-3 0,5 1 3 0,-6-1-7 15,4 2 9-15,-4 0-6 0,3 0 6 0,1 0-4 16,-7 0-5-16,7 0 7 0,-7 0-6 0,6 3-6 16,-6 2 10-16,-3-4-9 0,9 2 10 0,-6-3-4 0,7 3-6 15,-3 4 5-15,-1-3-5 0,1 2 12 0,-2-3-5 16,1 0-1-16,0 2-2 0,1-4 14 0,3 1-9 16,-2 0 9-16,3-2-10 0,-1 2 4 0,1-2 1 15,-1 3-1-15,3-3 3 0,3 2 2 0,-1-1-6 16,-2-1 2-16,-1 0-2 0,1 2 7 0,-3-2-9 15,-2 1 3-15,-1 1-5 0,2-2 2 0,-2 3 2 16,2-3 1-16,-2 1 1 0,2 1 5 0,1-2-4 16,-1 3-5-16,-3-3 2 0,4 0 0 0,-1 3-2 15,0-3 3-15,1 0-2 0,-1 0-2 0,1-2 14 16,-1 2-15-16,-9 0 13 0,6 2-11 0,0-2 2 16,1 0 6-16,8-2-5 0,-5 1-11 0,-1-1 11 0,0 2-5 15,-1 0 8-15,-2 0 1 0,1 0-3 0,1-3 4 16,2 2-5-16,3 2 6 0,-4-1-14 0,3 3 8 15,-2-3-10-15,5 0 9 0,-5 0-3 0,-1 0-1 16,0 6 0-16,2-4 5 0,-2 3-12 0,4-2 1 16,0 0-5-16,0 1 9 0,-5 1-3 0,5 2 5 0,-1 0-4 15,-5 0 10-15,2 1-6 0,3-2-2 0,-1 2-2 16,0 2 0-16,-1-3 6 0,3 2 0 0,-3 2-1 16,2-2-10-16,4 3 15 0,-3 1-5 0,3-1 7 15,0 0-4-15,0 1-1 0,0-1 2 0,2 1-3 16,-2-3 3-16,-1 4-7 0,4-2 4 0,-3 2-6 15,0 0 3-15,3-1 5 0,-3 1-3 0,3-1 4 16,-3 1 1-16,3 0 0 0,0-2-5 0,0 0 3 16,3 3-1-16,-3-3-2 0,0-1 10 0,0 0-9 0,0-4-4 15,0 2 9-15,3 2-6 0,0-2 9 16,0 3-1-16,1-3-8 0,-1 2 4 0,-2-1-6 0,4-1 4 16,-2 1 2-16,1-1-10 0,-1-2 10 0,3 4 4 15,1 1-7-15,-1 2 9 0,-1 1-10 0,2-5 0 0,-1 0-2 16,2 2-3-16,1-2 2 0,7 7 7 15,-6-5 0-15,-1-2 4 0,4-1-4 0,-3-1-10 0,2 0 10 16,2 0-5-16,-6-2 7 0,1 0-1 0,1 0-2 16,0 0 5-16,2-1-5 0,4 1-3 0,-3-2 9 15,0 2-9-15,0-1 10 0,-3-1-2 0,8 0-6 16,-1 0 6-16,-5 2-8 0,7-1-5 0,-9 0 10 16,7 1-1-16,1-1 6 0,-5 0 0 0,2-1-6 15,2 1-2-15,-2 1 0 0,4 0 0 0,-3 0 2 16,7-1-1-16,-1 1 2 0,0 0 9 0,-3 0-14 15,1-1 9-15,5 1-12 0,-3-2-10 0,3 1 29 16,-2 1-17-16,0-1 21 0,-4 0-15 0,2 0-21 16,2-1 30-16,0 1-24 0,5-2 40 0,-6 0-16 15,0-2-2-15,7-1-1 0,-3-1-7 0,-1-2 2 0,-2 0-6 16,1-3 7-16,2 0-5 0,0-2 6 0,3 1-3 16,-4 1 5-16,1 0 3 0,-1 1-8 0,4 0 5 15,-1-1-6-15,4 3-11 0,-10 0 17 0,1 0-11 16,2 0 13-16,-6 2-9 0,6-2 3 0,1 3 4 15,-3-2-2-15,6-1-9 0,1 2 8 0,-1-3-3 0,1 0 7 16,-2 1 1-16,1-3-5 0,0 0 2 0,2 0-3 16,-1-2 2-16,-2-1-4 0,0 5 0 0,-6-1-1 15,1 1 1-15,-2 2 1 0,2-3 2 0,-4 2-2 16,4 3-9-16,2-1 7 0,0-1 3 0,-2 2 1 16,-1 2 1-16,1-1-6 0,0 1-2 0,-1 1 0 15,-1 0-6-15,-1 2 10 0,2 1-8 0,-3-2 11 16,3 2 9-16,0 0-11 0,4-3 5 0,-4 2-7 15,1-1-7-15,5 1 11 0,-5-1-9 0,-1-2 9 16,3 2 1-16,-5-2-3 0,2-2 8 0,0 1-9 16,0-1-7-16,1 2 12 0,-1 0-5 0,-3-1 10 0,6-1-4 15,-2 2-7-15,5-1 1 0,-4 2-4 0,-3 0-1 16,-2 2 6-16,3-2-6 0,-3 3 6 0,4 2 1 16,2-2 3-16,0 1-1 0,2 1 0 0,-2-1-12 0,4 1 5 15,-7-2 2-15,3 1 2 0,4-1 17 0,0-1-29 16,6 0 12-16,2-2-18 0,2 0 17 0,-6-3 3 15,-2 0-5-15,-2 1 4 0,0-1 0 0,2 0-3 16,0 0 5-16,1 0-5 0,-2 0 3 0,2 0-2 16,-5 0-3-16,2 0 1 0,3-1 2 0,-8 1 0 15,3-2 4-15,-2 1-3 0,-2-1-6 0,6 1 8 16,2-1-3-16,1-1 5 0,0 1 0 0,0 1-2 16,-10-4-1-16,3 4-1 0,-8-2-5 0,2 0 6 15,1 1 0-15,1-1 3 0,1 2-5 0,-2-2 0 16,3 1-1-16,2-1 0 0,-1 0-5 0,2 0 6 15,0 0-5-15,0 0 5 0,0 0 6 0,-9 0-6 0,6 0 6 16,2 0-6-16,-5 0 0 0,2-1 1 0,0-1-2 16,3 2 1-16,-2-3 6 0,-1 3-5 0,-2-2 9 15,3 1-9-15,-6-1 0 0,0 0 4 0,6-1 9 16,-8 2-3-16,5-1-5 0,-5 1-3 0,0-2-6 16,-2 1 7-16,0-1 9 0,0-3-6 0,1 2-3 15,-2-3 1-15,5 1 9 0,-2-3-14 0,3 0 9 0,-2-3-10 16,0-1-2-16,-3 0 4 0,6-1-6 0,-3 2 6 15,1 0 6-15,-2 1-5 0,-2 2 9 0,-1-2-10 16,1 1-8-16,-6 2 13 0,9-2-11 0,-3 3 13 16,-7-6-2-16,7 2 0 0,-6 3 4 0,-1-2-5 15,3 2 2-15,0-2-7 0,-2-1 2 0,2 3-2 16,1 2 2-16,-1 1-2 0,-5-4 7 0,2-1-6 16,-6-2-1-16,0 1 7 0,3 5-10 0,-3-3 12 15,0-4-2-15,0 4-2 0,0 0 7 0,-3 0-5 0,3-1 9 16,0 2-11-16,0-1 8 0,0 1-8 0,-4-1-2 15,2 3 7-15,-4-2-9 0,2 2 11 0,1-2-5 16,-7-2 2-16,3 2 2 0,-2-1 0 0,-6 0-6 16,5 1 6-16,-3-1-4 0,-5 1 5 0,1-2-1 0,-6 0-11 15,1 2-11-15,-5-1 3 0,-6 2-15 0,-9 1-26 16,-2 2-15-16,-7 5-10 0,-6 2-91 0,-10 3-130 16,-10 8 171-16</inkml:trace>
</inkml:ink>
</file>

<file path=xl/ink/ink13.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6-27T00:16:48.194"/>
    </inkml:context>
    <inkml:brush xml:id="br0">
      <inkml:brushProperty name="width" value="0.05153" units="cm"/>
      <inkml:brushProperty name="height" value="0.05153" units="cm"/>
      <inkml:brushProperty name="color" value="#ED1C24"/>
    </inkml:brush>
  </inkml:definitions>
  <inkml:trace contextRef="#ctx0" brushRef="#br0">2233 351 104 0,'2'-1'21'0,"1"-2"-64"16,-3 0-22-16,3-3 74 0,-2 3 18 0,-1-1-9 15,0 1 5-15,0-1-7 0,3 3-5 0,-3-2 28 16,-3 1-14-16,0-1 22 0,2 3-3 0,-1 0-20 15,1-1 11-15,-5-5-15 0,-1 1 2 0,-2 2 3 16,9 0-10-16,-9 0 9 0,8 0 1 0,-2 0-11 16,-4 0 5-16,7 0-9 0,-6 0-11 0,3 0 12 0,0 0-8 15,-1 0 11-15,-2 0-6 0,4-1 2 0,-5 1 0 16,-3-1-2-16,4 1-14 0,-7 0 10 0,4 0-3 16,2 0 7-16,-3 0 3 0,1-3-7 0,-1 3 2 15,-3-2-4-15,1 1-2 0,-1 1 14 0,0-2-8 16,4 1 12-16,-5 1 2 0,3-4-12 0,1 3 6 15,-3 1-10-15,1 0-3 0,-2 3 4 0,2 0-5 0,-1-3 6 16,0 0 4-16,0 0-8 0,0 1 7 0,-2 2-9 16,-2 0 1-16,5 0 4 0,-7 0-3 0,6 0 6 15,-3 0 7-15,-3-3-15 0,-1 3 7 0,-5-3-11 16,2 1-2-16,5 1 12 0,2 1-11 0,0-2 11 16,0 2-6-16,-4-4-1 0,1 2 5 0,3 1-4 15,1-1 7-15,1-2-8 0,2-1 0 0,-2-1-4 16,5 0 15-16,1 3-13 0,-6 0 7 0,-1 2-11 15,-2-1 3-15,1-2 15 0,0 1-16 0,1 0 15 16,-2-3-16-16,1 4 2 0,-3-1 14 0,7 0-11 0,-4 1-10 16,6-1 19-16,-6-3-15 0,6 0 17 0,-2 3-1 15,2-2-14-15,0-1 13 0,-3 2-14 0,1-2 6 16,2 3 3-16,-6-2-11 0,4-3 10 0,-1 0 5 0,0 0-7 16,0 1 12-16,1 5-12 0,2-1-6 0,0-2 9 15,1 5-9-15,-4-4 10 0,0 1 4 0,1 3-9 16,-8-3 7-16,7 3-9 0,-3-2 0 0,-2-2 5 15,2 4-11-15,0 1 9 0,-7-1 2 0,4 2-3 16,0-1 12-16,0 1-13 0,2 4-16 0,-3-8 21 16,3 2-14-16,-9-1 18 0,7 2-7 0,0 2-5 15,-4 3 4-15,4-2-6 0,0-4-1 0,-3 0 7 16,3 0 0-16,2 0 3 0,-2 7 4 0,3-2-5 16,-3-1 3-16,3 1-4 0,-3-5-1 0,3 0 1 15,0 1-7-15,-3 1 7 0,3 5 9 0,-3-1-13 16,3-4 6-16,0 4-10 0,0-2 6 0,3 2 6 15,-3 2-4-15,-3-5 6 0,3 0 2 0,-2 2-13 0,4-1 9 16,5 5-11-16,-7-4-2 0,0 0 12 0,0 2-9 16,-6-4 10-16,11 6-4 0,-1 0-4 0,3-3 8 15,-1 2-8-15,-3-4 0 0,-3 1 9 0,7 1-10 16,-1 0 11-16,-3 2-5 0,4-2-1 0,-1 0 0 16,0 2-3-16,1-5-16 0,-1 3 25 0,-3 3-10 15,4-3 14-15,-3 3-5 0,4 0-9 0,2-2 7 0,0 1-10 16,3 3 2-16,-6-1 6 0,-1 3-9 0,4-1 10 15,2 0 3-15,-1 1-4 0,-2-1 10 0,0 1-11 16,4-3-8-16,-3 1 8 0,5 1-5 0,-1-1 8 16,1 0 1-16,-1-1-4 0,1 2 3 0,1 0-3 15,-3-1-5-15,0-4 5 0,3 4-4 0,-4-2 4 16,4 0 4-16,0 2-4 0,0-3 6 0,0 0-6 16,0 1-1-16,0 1 7 0,0 0-8 0,0 2 8 15,0 1 1-15,0-3-11 0,0 6 10 0,0-10-12 16,4 5 2-16,-1-1 5 0,-2-4-3 0,4 4 6 15,-2-5 4-15,-2 2-8 0,5 4 7 0,0-3-7 0,1 2-6 16,-3-5 7-16,1 3-8 0,-1-2 10 0,2 2 2 16,-3-2-5-16,7 1 6 0,-4 2-7 0,0 1-10 15,0 1 17-15,1 0-15 0,3-2 16 0,-1-4-4 0,0 1-5 16,1 3 9-16,-3-5-10 0,5 8-7 0,-2-4 16 16,3-1-8-16,0 2 11 0,0-2-3 0,6 2-6 15,-3-3 6-15,2 1-7 0,-5-1-8 0,3 1 12 16,-9-1-6-16,5-3 8 0,5 1-1 0,-2 1-5 15,5-2 8-15,-7 1-8 0,0-2-8 0,2 1 12 16,1 0-9-16,0-2 11 0,-3 2 1 0,3-3-4 16,-3 0 3-16,2 0-5 0,2 0-6 0,3 0 10 15,-2 0-11-15,5 0 11 0,-4 2-2 0,-1-2 0 16,2 0 8-16,-1 0-9 0,0 0-14 0,1 1 25 16,-2 1-22-16,-2 1 22 0,0 0-18 0,3 1 3 15,4 1 7-15,0-2-5 0,2 2-7 0,-3-2 13 16,4 0-7-16,-1-3 8 0,-6 0-11 0,3-2 13 0,1-2 3 15,6-1 3-15,6 0 3 0,-1-4-11 0,2 0-2 16,-4-1-3-16,0-2 2 0,-3-2 4 0,6 2-1 16,-1 0 1-16,-1 0-10 0,-4-4 4 0,0 6 0 15,1-4 4-15,0 5 2 0,-2 0-7 0,8 0 2 16,-8 3-2-16,-7-3 0 0,6 6 0 0,-11-5-4 0,10 2 4 16,0 1 4-16,-8 1-4 0,-1 1 7 0,3 0-7 15,-5-2 1-15,6 2 3 0,3 0-4 0,-3 0 5 16,2-3 9-16,-4 3-7 0,-3-3 9 0,1 2-10 15,-2-4-8-15,0 2 12 0,1 1-17 0,-2-1 15 16,-2 5-10-16,2-7 2 0,-5 2 3 0,3 1-3 16,-1-2 0-16,1 5 2 0,4-1 2 0,-6 0 1 15,6 3 2-15,-7-4-9 0,0-1 7 0,5 2-7 16,-6-3 2-16,5 0-4 0,0 5-2 0,-3-1 4 16,12 4 7-16,-12-2-4 0,9 3 2 0,-9-3-3 0,-7-3-4 15,7 3 5-15,-3-3-2 0,-7 0 4 0,9 3 1 16,-6-3 0-16,-3-4 9 0,6 6-7 0,-6-2-4 15,6-2 18-15,0 2-11 0,-5-1 14 0,4-4-1 16,2 0-10-16,-1-1 3 0,7 0-8 0,-3 0-6 16,-7-2 6-16,10-2-5 0,-10 1 7 0,-3-3 3 0,4 1-4 15,-4 0 10-15,0-1-7 0,6 0 17 0,-6-3-18 16,0 3 2-16,0-2-7 0,-3 0 8 0,0 0-6 16,-3-3 3-16,-1 1-5 0,-3-1-9 0,0 4-6 15,-3-1-24-15,-2-1 10 0,-4 1-60 0,0 2-148 16,-3-2 150-16</inkml:trace>
</inkml:ink>
</file>

<file path=xl/ink/ink14.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6-27T00:16:48.195"/>
    </inkml:context>
    <inkml:brush xml:id="br0">
      <inkml:brushProperty name="width" value="0.05153" units="cm"/>
      <inkml:brushProperty name="height" value="0.05153" units="cm"/>
      <inkml:brushProperty name="color" value="#ED1C24"/>
    </inkml:brush>
  </inkml:definitions>
  <inkml:trace contextRef="#ctx0" brushRef="#br0">2468 307 94 0,'0'0'23'0,"0"0"44"15,0 0-46-15,-3 0-4 0,3 0-8 0,-3 0 6 16,0 0-4-16,3 0-7 0,-4 0 16 0,1 0-13 16,-2 0 9-16,1 0 18 0,-3 0-8 0,4-2 13 15,0 1-2-15,-3-1-6 0,3 0 4 0,-3 1-5 16,-4-1-3-16,4 1-7 0,-3-1-8 0,-2 1 4 15,5 1 0-15,-4 0-8 0,1 0 3 0,-4 0-7 16,4 1-9-16,-7 2 9 0,3-1-4 0,-3-1 6 0,-3 3-2 16,-3-1 5-16,0 0 0 0,3-2-1 0,-1 1-16 15,1-1 26-15,3-1-11 0,-2 0 18 0,-1 0-8 16,3-1-5-16,0-1 5 0,-1 1-5 0,2-1-5 0,-4-1-2 16,-3 0-5-16,2-2 2 0,5 2 4 0,2 2-3 15,0-2 7-15,-6 1-8 0,1-1-6 0,-2-1 4 16,2 1-8-16,-1 1 8 0,-4-2 0 0,3 0-4 15,1 3 7-15,-2-2-7 0,1 1-4 0,-1-1 11 16,-2 2-10-16,-2-2 12 0,5 0 1 0,-4 0-6 16,-5 2 14-16,3-2-13 0,-2 1-1 0,2-1 3 15,4 0-10-15,4 0 9 0,-2 1 12 0,0-2-12 16,4 1 13-16,-5-2-12 0,-2 2 12 0,8-3-7 16,-5 1 0-16,1-2 1 0,1 1 9 0,-5 0-10 15,0-2 5-15,5 3-8 0,-4-2 1 0,6-1 1 16,-6 2-4-16,2-4 5 0,4 5 7 0,-3-1-16 0,0 2 5 15,-3 2-8-15,2-1-2 0,-2 0 10 16,4 0-6-16,-1 1 6 0,-4-4-4 0,4 2 0 0,3 1 1 16,-6-5-2-16,4 7-6 0,-2-1 13 0,0-4-11 15,3 3 12-15,-3-5-9 0,-3-1 4 0,-2 0 3 16,6-1-2-16,-3 4-9 0,-1-2 6 0,5 4-6 16,1 2 6-16,2-3 0 0,-4-2 2 0,3 4 4 0,-4-2-3 15,-2 4-5-15,8 1-2 0,-3-2-6 16,1 1 5-16,0 1 5 0,0 0-2 0,0 0 3 0,4 0-5 15,-4 0-1-15,3-2 2 0,0 7-6 0,0 4 5 16,-3-6 7-16,2 3-8 0,-3 3 9 0,1-3-9 16,0 6 5-16,3-1 0 0,-6-5-4 0,0 4 3 15,0 1 5-15,-3 1 2 0,2 3 4 0,4-1-4 16,1-2-5-16,0 6 1 0,1-4-3 0,2 1 3 16,-5-3 9-16,8 2-9 0,-1-2 5 0,-5-1-7 15,9 3-7-15,-7-3 18 0,3 3-14 0,0-2 16 16,-6 0-12-16,4-1-1 0,-1 1 9 0,4 1-9 0,6-1-11 15,0 1 12-15,-3-1-5 0,6-1 7 0,-7 0 3 16,-3-1-7-16,10 1 4 0,-6-2-5 0,6 0-3 16,-3 0 4-16,6-1-2 0,0 2 3 15,-3-2-1-15,3 1 7 0,0-1-3 0,-3-1 3 0,4 4-19 0,-4-4 16 16,-4 3-4-16,15 0 7 0,-9-4-4 0,4 5-3 16,4 4-1-16,-4-6-2 0,-2 3 3 0,-1-4 1 15,3-1-2-15,-3 3 2 0,3-4 0 0,7 3-6 16,-12-3 11-16,4 0-10 0,-1 3 2 0,5 0 2 15,5 0-1-15,-5-5 2 0,7 1 10 0,-10 1-12 16,3 2 2-16,4-2-3 0,-1 2 7 0,-2-4-4 16,4 4 0-16,-2-2-4 0,1 1-2 0,2 3 7 15,-2-7 1-15,6 3 2 0,1 1-7 0,-5-1 8 16,3 5-13-16,-5-2 11 0,0-6 3 0,-3 3-7 16,3 2 8-16,0-2-11 0,-1 4 2 0,3-4 7 15,-2 2-6-15,0-2 6 0,-3 2 2 0,3-1-7 16,-1 0 6-16,1 2-8 0,-2-4-6 0,0 0 12 15,2 2-6-15,3-4 7 0,4 1-4 0,-2 2-7 0,0-2 15 16,-5 1-13-16,1-1 6 0,-2 1 3 0,8 3-13 16,-5-4 9-16,0 1-1 0,2 1 4 0,-7-2 3 15,2 1-4-15,8 3-9 0,-5-4 6 0,1 2-7 0,-4 1 7 16,2-2 7-16,-2 0-9 0,7-1 19 0,1 1-17 16,1-1-5-16,-2-1 8 0,-3 2-8 0,0-2 12 15,-3-2 7-15,6 3-10 0,-3-3 4 0,3-1-5 16,1 2 0-16,-5-2 4 0,4-2-9 0,0 2 8 15,0 0-3-15,1 0-2 0,-1 0 8 0,-3 0-6 16,-1 0-5-16,1 0 3 0,3 0-7 0,-3 0 6 16,3 2-3-16,-7-2 4 0,8 1 5 0,-8 1-2 15,5-2-10-15,-1 1 6 0,-3-1-1 0,5 0 4 16,4 0 12-16,0 2-11 0,-2-4 3 0,1 1-5 16,-4-1-3-16,2-1 4 0,-3 2-8 0,1-4 8 15,-2 2-1-15,3-2 2 0,1 1 3 0,4-1-3 0,0 1-6 16,-2-3 4-16,-2 3-5 0,0-2 4 0,-3 2 4 15,0-1-5-15,-3 2 7 0,3 0-7 0,3 0 3 16,-6-3-3-16,3 0 0 0,-3 1-2 0,3 1 12 16,-1 1-13-16,5 0 3 0,-2-2-7 0,2 2 1 15,2-2 6-15,-7 1-4 0,8 2 4 0,2-2 4 0,-6-1-12 16,9-1 10-16,-8-2-10 0,2 1 11 0,1-2-3 16,-5 5-3-16,8-4 0 0,-3 3-3 0,-1-4 1 15,-4 0 7-15,1-2-3 0,-3 2-1 0,4-1 7 16,5 2-12-16,-3 0 12 0,-3 2-5 0,-3-1 0 15,-3-2 5-15,0 1-5 0,-1 2 1 0,0 3 0 16,-1-4 4-16,-5 2-1 0,3-1 9 0,-3-5-7 16,2 5 3-16,-3 0-4 0,-1 0-5 0,-1 3 20 15,0 0-9-15,0-3 13 0,0 0-11 0,-3-1 0 16,0-6 2-16,4 3-3 0,-1-1-6 0,-3-1 0 16,3 1-8-16,-2 2 4 0,-1-3-4 0,0-2 5 0,2 2 6 15,-2-3-4-15,0 4-6 0,-2-1 2 0,1-2-3 16,-1 1 4-16,-2-3 3 0,0 1-6 0,1-3 4 15,-3 2-8-15,2-1-15 0,-4-1 8 0,0-1-29 16,2 2 18-16,-3-3-48 0,2 0-38 0,-6 0-38 16,4 2-4-16,-7-2-118 0</inkml:trace>
</inkml:ink>
</file>

<file path=xl/ink/ink15.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07"/>
    </inkml:context>
    <inkml:brush xml:id="br0">
      <inkml:brushProperty name="width" value="0.05153" units="cm"/>
      <inkml:brushProperty name="height" value="0.05153" units="cm"/>
    </inkml:brush>
  </inkml:definitions>
  <inkml:trace contextRef="#ctx0" brushRef="#br0">0 985 142 0,'16'7'26'0,"-12"-11"6"0,1 2-29 0,1-1 77 15,-2-2-20-15,3 8-29 0,-7 0 3 0,0-7-11 16,5 2-10-16,-5-5 25 0,2 2-6 0,-2 5 15 16,-1 0 9-16,1 0-13 0,0 0 12 0,1-1-15 0,-2-2-17 15,0-3 1-15,2 3-16 0,0-1 15 0,1 3-4 16,2 1-10-16,1 2 4 0,0-2-7 0,-5-1-5 15,0 0 11-15,0-5-7 0,0 4 8 0,2-3-2 16,4 7 4-16,-7-2 9 0,-4-8-6 0,3 9-5 16,2-2 24-16,-5-5-18 0,7 7 23 0,1-1-11 15,1 3-7-15,-4-1 8 0,0-2-7 0,0 1 4 0,-2-3-9 16,0-2 0-16,2 3-2 0,0-2 1 0,0 3-8 16,0 1 6-16,-5-5-6 0,5 3 1 0,0 0-7 15,-2-1 0-15,6 6 1 0,-8-7 16 0,4 3-11 16,7-1 3-16,-7-5-6 0,0 4-9 0,0-2 7 15,-7 1-6-15,7 2 8 0,-3-2 4 0,6 3-5 16,1-2-1-16,-4-2-3 0,5 1-13 0,-3-1 15 16,3-2-5-16,3 2 8 0,-1 0-3 0,-7-1-8 15,5-1 6-15,5 1-7 0,-5 0 3 0,10 0 1 16,-8 1-2-16,-2-3 2 0,-3-2 2 0,6 2 3 16,4 0-2-16,-1 1 3 0,6-1 4 0,-1 1-7 15,-5 0 1-15,5-2-4 0,-3 1 0 0,7-2 8 0,-1 1-1 16,3 1 1-16,-2 0-2 0,0-3-9 15,-1 1 1-15,1-2-5 0,0 2 9 0,-4-2-1 0,2 0 6 16,2 4-6-16,0 0-3 0,-5-5 5 0,7 5-5 16,-1-2 6-16,-8-2 6 0,9 4-7 0,-2-4 9 15,0 4-9-15,1 0 13 0,1 0-13 0,-9-4 6 16,4 1-7-16,-3-2 1 0,6-1-4 0,5 9-2 16,-3-5 0-16,4 2 6 0,-5 3-4 0,-4-7-1 15,1 3-1-15,2 6 13 0,-1-7-7 0,2 3 3 0,-3-3-5 16,-3 1 1-16,1-1-2 0,2 0 0 0,2 4-1 15,-5-4 11-15,10 6-9 0,-10-6 7 0,1-4-8 16,-3 1 2-16,3 1-2 0,9 4-2 0,0 5 2 16,2 1 4-16,-7-5-4 0,-3-2 1 0,5 1-2 15,0-1-2-15,2 0 2 0,-1 2 1 0,-4-1 1 16,1 0-1-16,-2 1-4 0,2-1 3 0,0 1-2 16,1 3 13-16,-2 0-12 0,-1-1 2 0,2-1-5 15,2 2 5-15,-2-2-1 0,4 2 1 0,-1 0 0 0,-1 0 3 16,0-1-6-16,-6-1 1 0,6 2-2 15,1-1 8-15,1-2-4 0,7 3 7 0,-5-2-6 0,1-1 6 16,2 0-9-16,-2-1 1 0,4 0-3 0,-2 0 13 16,-2 2-9-16,-3-1 1 0,3 0-3 0,1 1 6 15,1-1-9-15,-2 2 5 0,5-1-7 0,-5-1 10 0,-2-1-4 16,4 1 1-16,-4 2-2 0,2-3-2 0,0 1 8 16,-5-1-6-16,7 1 5 0,1 3-4 0,4-2-2 15,1 2 6-15,-8-2-4 0,-2 0 9 0,6 1-8 16,-3 3 0-16,4-2-1 0,-1 0-2 0,0 3 1 15,3-3 1-15,0 2-1 0,1 1-3 0,-9-5 4 16,7 6 4-16,-6-2 0 0,2-1-8 0,0 0 5 16,-2 0-2-16,4 0 5 0,-9 0-3 0,5 2 2 15,-1-8-10-15,6 8 9 0,1 2 2 0,1-2-6 16,-2 5 4-16,-3-5-4 0,-2-3 8 0,5 3-5 16,-8-5 0-16,4 4-3 0,4 1 2 0,-1 0 0 15,5 0 1-15,-7 0 0 0,0-1 6 0,-2-2-2 0,1 3 1 16,3 0-1-16,0 1-2 0,0-1-4 0,1 3-1 15,-2-3-2-15,2 2-10 0,-1 0 21 0,-2-2-10 16,-1 2 13-16,2 2-13 0,1-4 3 0,-2 0 4 16,4 0-2-16,-4-3 9 0,-2 3-8 0,3-1 2 15,2 2-4-15,2-1 4 0,1-1-1 0,-6-2-3 16,1 1 1-16,2-2-14 0,0 4 15 0,-3 0-1 0,1 0 6 16,4 4-6-16,-1-4-2 0,5 2 1 0,-3 1-1 15,-3-3 1-15,3 0 0 0,1 0 1 0,1 2 1 16,1-1-1-16,5 2-4 0,-6-1-1 0,1 0 0 15,0-2 6-15,4 2 0 0,0 0 5 0,-2-1-3 16,-1 1-7-16,-4 0 4 0,-2-2-4 0,0 1 7 16,3-1-1-16,2 1-3 0,0-1 0 0,0 0-1 15,-3 0 4-15,1-1-4 0,-3 1 1 0,5 2-2 16,-1-4-4-16,0 1 11 0,0-5-5 0,-7 2 7 16,4 4-3-16,-2-2-9 0,-3-1 5 0,1-1-5 0,4 0 6 15,4 2 0-15,-5 1 0 0,3-2 1 0,-5 0 0 16,-3 1-4-16,4-1-4 0,4 2 1 0,1 0 10 15,1 1-8-15,0 1 3 0,-8 0-5 0,2-1 5 16,0-7-3-16,5 2 5 0,-6 0-5 0,7 3-2 0,-2 4 9 16,-8-1-11-16,6-1 11 0,-7-2-4 0,10-1-3 15,-3-1 8-15,1 4-7 0,1-1-5 0,-5 1 14 16,0 0-6-16,-2-6 9 0,2 4-9 0,11 3-6 16,-8-4 0-16,-1 3-2 0,2 0 6 0,-10-3-1 15,4 4 2-15,2 1-1 0,0-2 1 0,-2 4-2 16,5-3-4-16,-3-2 0 0,0-1-1 0,-4-1 8 15,0 0 1-15,1 3 2 0,-1 6 0 0,2-4-9 16,4 0 4-16,-4-2-5 0,-2-1 9 0,4 2-5 16,-6-1-3-16,-2-1-1 0,3 2 6 0,-6-4-3 15,-3 2 2-15,8 1-6 0,-1-5 0 0,7 6 3 16,2-1-8-16,0 2 5 0,-1 0-3 0,-3-6 1 16,-2 5 8-16,3 2-6 0,2 0 1 0,1 2 5 15,0-5-4-15,3 6 5 0,-3-4 2 0,-4 2 0 0,-2-4 1 16,0 0-3-16,3 0-15 0,-3-9 14 0,2 11-7 15,-9-2 8-15,2 0 4 0,5 9-11 0,-2-8 10 16,-3-1-10-16,2-1 7 0,1 1-2 0,-3 0-2 16,11 5 0-16,-4-5 0 0,-2 1 2 0,2 1 2 0,-16-8-1 15,9 10-14-15,3 1 21 0,4-3-14 0,0 2 16 16,0 0-10-16,-3-4 3 0,-1 3 3 0,4 0-1 16,-2 1-8-16,-1 2 6 0,-1-1-5 0,-3-3 7 15,0 0 2-15,3-1-14 0,-1 1 15 0,2-1-13 16,3 0 10-16,0 3 8 0,-4-4-16 0,8 4 12 15,-4 1-15-15,0-1 6 0,11-1 2 0,-11 0 0 16,0 0-10-16,-2-1 14 0,-1 4-11 0,-2-1 13 16,3-1 3-16,-2-1-9 0,-1 0 7 0,3 0-9 15,0 0-2-15,0 0 3 0,0 1-2 0,1-1 2 16,-1 2 2-16,2 0-3 0,-5 2 5 0,-2-2-5 0,1 0 7 16,3 3-5-16,-1-1-3 0,2 0 0 0,1 0 3 15,-4 1-1-15,1-1 6 0,-3 2-5 0,3-1-3 0,4 3 5 16,-2-2-8-16,-3-1 9 0,-2 0 14 15,3-1-14-15,-3-1 14 0,0 1-17 0,1 0 6 0,1 0-1 16,-4 0-6-16,-3-3 4 0,3 3-1 0,-2-1 1 16,3 2 1-16,-1 3-3 0,2-3-1 0,-5-2-5 15,1-1 1-15,-1 3-1 0,-3-2 15 0,4-1-10 16,-2 0 7-16,-1-1-9 0,1 3 0 0,1 1 2 16,2-2 0-16,1-1 0 0,0-6-8 0,-1 7 19 15,4-1-11-15,-4 2 13 0,-5 2-26 0,2-3 13 16,6 2-2-16,-7-5 7 0,10 2 3 0,-8-1-9 15,-8-1 3-15,8 1-3 0,3 2 9 0,-5-3-8 16,5 1 2-16,-9-4-3 0,2 2 2 0,-2 0-1 16,-2-3 4-16,5 6-4 0,4-2-3 0,-3 1 5 15,5 2-7-15,-4-6 7 0,-1 2 3 0,0 6-13 16,-1-3 11-16,-3 0-11 0,3 0 17 0,-4-4-11 0,3 1 5 16,6 6-6-16,-6-2 4 0,3-2-1 0,2 3-5 15,-3-5 2-15,2 3-9 0,1 0 12 0,-7-3-1 16,7 5 3-16,-9-4-13 0,4-3 15 0,1 1-5 15,-14-2 10-15,15 7-17 0,-1 2 11 0,2 1 0 0,6 2 5 16,-9-5-4-16,-4-1-6 0,3 1-2 0,-2-2 1 16,-1 1 5-16,2 2 0 0,-4-2-3 0,0 1 1 15,1-1-2-15,4-2 6 0,-4 2 1 0,1 1-1 16,2 0-15-16,-2-1 11 0,1 2-4 0,-2-3 7 16,1 4 2-16,0 0-4 0,2-1 2 0,-2 2-4 15,-3 0-10-15,3-1 11 0,-2 2-6 0,2 0 9 16,2 0 0-16,-4 0-9 0,4 0 8 0,-2-2-8 15,-1 0 5-15,2 3 4 0,-3-3-6 0,-1 3 6 16,10 4 6-16,-10-5-4 0,10 4-2 0,-5-3-2 0,-7-5-14 16,8 3 16-16,-9-2-5 0,9 1 9 0,-10-4-1 15,4 5-14-15,-3-6 11 0,-5-3-11 0,8 6 14 16,-8-5-3-16,9 9-8 0,2 0 5 0,-6-1 0 16,5 3 0-16,-6-10 9 0,3 3-8 0,0-1-12 15,3 0 15-15,-6 1-7 0,3-1 11 0,-1-2-2 16,1 2-18-16,3-1-3 0,2 0-6 0,0 3-24 0,-1-3-24 15,-4 3-34-15,0-6 5 0,-4 0-79 0,8 0-160 16,1-4 211-16</inkml:trace>
</inkml:ink>
</file>

<file path=xl/ink/ink16.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08"/>
    </inkml:context>
    <inkml:brush xml:id="br0">
      <inkml:brushProperty name="width" value="0.29444" units="cm"/>
      <inkml:brushProperty name="height" value="0.58889" units="cm"/>
      <inkml:brushProperty name="color" value="#00FF00"/>
      <inkml:brushProperty name="tip" value="rectangle"/>
      <inkml:brushProperty name="rasterOp" value="maskPen"/>
    </inkml:brush>
  </inkml:definitions>
  <inkml:trace contextRef="#ctx0" brushRef="#br0">179 85 139 0,'-5'0'26'0,"5"-4"-53"0,-4 0-20 16,1 0 51-16,2-1-24 0,-4 0-3 0,-2-4-3 16,0 1 6-16,-1-2 23 0,1 6-3 0,-5-4 4 15,4 8-4-15,-5-3-5 0,4 0 35 0,-1 3-7 0,2-3 20 16,-1 2-4-16,0 0-39 0,2 2 3 0,-4-4-19 15,0 1-37-15,-1-1 26 0,-1-3-2 0</inkml:trace>
</inkml:ink>
</file>

<file path=xl/ink/ink17.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09"/>
    </inkml:context>
    <inkml:brush xml:id="br0">
      <inkml:brushProperty name="width" value="0.29444" units="cm"/>
      <inkml:brushProperty name="height" value="0.58889" units="cm"/>
      <inkml:brushProperty name="color" value="#00FF00"/>
      <inkml:brushProperty name="tip" value="rectangle"/>
      <inkml:brushProperty name="rasterOp" value="maskPen"/>
    </inkml:brush>
  </inkml:definitions>
  <inkml:trace contextRef="#ctx0" brushRef="#br0">5 0 346 0,'-4'5'131'0,"4"-3"-68"0,-1-2-8 0,8 5-12 15,-2-3-17-15,-3 2-4 0,11 7-18 0,-8-9 11 0,-1 1-21 16,-8-4 6-16,1-3-2 0,3 4 0 0,0-3-23 16,3 3 29-16,4 1-4 0,-7-1 13 0,-3-3 0 0,1 3 2 15,-5-3 5-15,7 3-4 0,0 0 4 16,5 1 11-16,-1-1-12 0,-4-2 12 0,7 3-16 0,-7 4-10 16,0-4 4-16,-2-1-7 0,4 2 1 0,0-2 16 15,-2 2 4-15,1-2 5 0,-4-2 20 0,3 1-4 16,-7-2 9-16,10 3-6 0,-3 1 12 0,0 1-7 15,2-1 0-15,-2-1 0 0,0 0 2 0,0 0-15 16,4-1 2-16,-3 0-7 0,2 1-7 0,-3 0-13 16,-2 1-1-16,3-1-2 0,-3 0 3 0,-1 0-4 15,1 0 1-15,2 0-2 0,-2-1 1 0,2 1-1 16,0 1-3-16,0-1 2 0,4 6 13 0,-4-5-7 16,5 0 9-16,-1 3-9 0,0-4 5 0,-4 0-3 15,3 1-1-15,4 5 0 0,-10-6-4 0,11 8 2 16,-8-8 4-16,0-2-3 0,10 7-6 0,-13-10 2 15,6 10-1-15,4-2 2 0,-4 2 0 0,1-4-3 0,-3 0-1 16,11 3 1-16,-10-7 4 0,3 4-10 0,-4-1 12 16,4 3-8-16,-3-1 21 0,3-1-18 0,2 4 2 15,-2 0-5-15,2 1 6 0,-4-8-4 0,1 2 0 16,6 2-1-16,-4-5 0 0,8 8-6 0,-4-7 5 16,-1 2-3-16,4 0 7 0,-3 0-2 0,-3-7-2 15,1 5 1-15,1 2-2 0,-3 0-3 0,6 6 4 0,-3-3-2 16,-1 0 3-16,2-8-1 0,-2 5 3 0,3 0-2 15,-1-4-1-15,3 7-3 0,-2-2-5 0,2-3 3 16,-2 2 1-16,3 1 6 0,-1-1-2 0,-2 0 1 16,7-1-10-16,-7-1 9 0,2-2-4 0,7 4 6 15,-11 0-7-15,7-2 2 0,1 1 3 0,-3 1-1 16,4-2 0-16,-5 2 0 0,-4-2-1 0,-2-3 0 16,8 5-1-16,3 6-3 0,-1 3 2 0,2-5-2 15,-11-5 0-15,1-6 3 0,1 2-3 0,5 5 6 16,-3-1 1-16,3 2-1 0,-2-3 3 0,1 1-3 15,3 2 4-15,1 2-2 0,-1-3 2 0,-3 4-3 0,1-4-1 16,-1 2-5-16,2 3 1 0,-6-6-1 0,4-4 7 16,1 2-6-16,3 6 0 0,-1-3-1 0,4 5 1 0,-1 0 0 15,-5-8 2-15,1 7-2 0,-5-4 1 16,-4-4-2-16,8 2-1 0,1 2 2 0,0 3 2 0,-3-3-3 16,-4 0 4-16,2-3-5 0,0 3 7 0,0-1-7 15,1 1 2-15,0 0-2 0,0 0 1 0,6 2-1 16,-1 0-6-16,-1 1 3 0,2-3 4 0,-3 0 2 15,-2 2 7-15,-1-1-5 0,1-4 2 0,1 2-4 16,1-5-3-16,-4 3 0 0,2 9 0 0,1-5 0 16,1 1 2-16,1-1 0 0,0-1 2 0,-1-1-6 15,3-1 2-15,-3 1-3 0,1-1 9 0,2 1-7 16,4 1 6-16,-5 0-6 0,4 4 4 0,-1-4-1 16,-9 0-3-16,6-1 2 0,0-1-3 0,0 2 0 15,-2 0 2-15,2 1 0 0,-2 0 3 0,0-2-2 16,4 0 1-16,1 0-2 0,-7-9 0 0,4 9-1 0,-1 2-1 15,2-2 1-15,-1 6 6 0,-1-5-4 0,0-3 2 16,-1 6-3-16,3 0 6 0,-2-3-10 0,2 3 4 16,-1-4-4-16,1-4 7 0,1 5-2 0,0-3 0 15,-4 0 0-15,3 3-1 0,-2 1-3 0,-1 0-1 16,5 4 2-16,-2-4 7 0,2-1-5 0,-2 3 2 16,-2-3-3-16,3 2 0 0,-5-2-2 0,4 1 4 15,2 0-1-15,-3-2 4 0,3 1-6 0,-4 0 1 0,2 0-3 16,-3-1 11-16,-2-1-8 0,1 2 5 0,-1 0-5 15,1 1 3-15,-5-2-3 0,4-2 0 0,0-2-2 16,1 8 3-16,4 3-2 0,-1-5 6 0,-3 1-4 16,1-3 5-16,-5-1-5 0,0 3-5 0,8-1 3 15,-9 0 2-15,6-1 0 0,4 3 2 0,-6-1-2 16,7 2 4-16,-1 2-4 0,-9-5 0 0,10 3-2 16,-1 0 1-16,-5-3 1 0,2-2 0 0,-8-3 0 15,3 5 3-15,5-2-3 0,-2 1 1 0,3 5-1 16,-4-6 2-16,1 3-2 0,1 0-2 0,-1-1 1 15,1-1 9-15,-2-1-11 0,-1 2 4 0,-1 1-6 0,0 0 10 16,0-1-7-16,0 0 3 0,0-8-3 0,3 7 7 16,-1 4-9-16,3-4 4 0,-1 2-4 0,5-1 6 0,-11-5-1 15,4 6-1-15,0-1 1 0,-6 1 5 16,11 0-10-16,-4-2 8 0,-1 0-7 0,1-2 7 0,-6 3-4 16,-4-4 1-16,8 1-1 0,1 3 3 0,-6-4-3 15,13 11 0-15,-11-6 0 0,-3-1 2 0,6 6-1 16,-10-11-1-16,3 4 0 0,3 1-3 0,-1 2 3 15,1-2 0-15,-1-1 3 0,0-1 1 0,-2-1-5 16,3 3 2-16,-3 1-3 0,-1-1 5 0,1-3-4 16,1 3-1-16,3 2-1 0,-2-1 3 0,4 2 0 15,0 2-1-15,-6-7 1 0,6 2 4 0,-4 2-7 16,0-5 7-16,1 3-7 0,-4 0 4 0,3 0 1 16,-1 0-4-16,-1 4 2 0,0-4-2 0,-1 0 0 15,-1 1 0-15,-1-2 0 0,1 4-4 0,0-4-2 0,1 0-5 16,-1 2 1-16,-1-2-12 0,0 2-19 15,1 1-8-15,-1 0-4 0,0-1-18 0,-2-5-31 0,2 0-20 16,-2-4-8-16,1 1-75 0,2 7-160 0,-6-10 222 16</inkml:trace>
</inkml:ink>
</file>

<file path=xl/ink/ink18.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10"/>
    </inkml:context>
    <inkml:brush xml:id="br0">
      <inkml:brushProperty name="width" value="0.05153" units="cm"/>
      <inkml:brushProperty name="height" value="0.05153" units="cm"/>
    </inkml:brush>
  </inkml:definitions>
  <inkml:trace contextRef="#ctx0" brushRef="#br0">9447 1236 255 0,'1'0'32'0,"-1"0"-13"0,0 0 59 0,0 0-38 15,-1 1 4-15,1 1-14 0,0-1-3 0,-1 1 16 16,1-1-13-16,0 2 17 0,0-2 6 0,0 1-3 16,0 2 23-16,0-3-18 0,0-1 13 0,0 1-6 15,0 0-10-15,0 0 9 0,0 0 2 0,0 3-21 16,-1-1 12-16,1 1-14 0,-2 1 4 0,-1 2-21 15,1 1-3-15,-3 1-2 0,3 3-6 0,-6 2-10 16,3 1 0-16,-2 4-2 0,-1 1 6 0,1 5-7 16,-3-4-2-16,0 1-2 0,-2 4 8 0,-1 0-4 15,4 8 3-15,-1 0-4 0,-4-2-1 0,3 6-1 16,-1-4-4-16,0 1 3 0,7 5 5 0,-13-1 0 16,0 2 5-16,-2 3-6 0,-5 3-7 0,8 2 9 15,-3-2-9-15,2 1 10 0,2-2 1 0,-1-3-11 16,-1 1 6-16,-2-2-11 0,-2-1-7 0,2-5 7 0,6 3 5 15,-1-4 1-15,0 3 6 0,5-2-7 0,1-8-4 16,1 0 2-16,-4-3 10 0,3-4-8 0,3-5 4 16,-3-3-7-16,4-2 1 0,1-4-19 0,4 2-10 15,0-9-3-15,0 1-27 0,0-1 33 0,-4-7-18 16,1-4 20-16,1-6-20 0,0-3 5 0,2 3 11 16,0-7-6-16,0-2 34 0,-3 1 9 0,3-5 6 0,-2 7 1 15,2-4 33-15,-3 4-14 0,0 0 13 0,1 5-16 16,-3 0 0-16,1 3 19 0,-1 3-1 0,-2 0 10 15,3 6 3-15,2 1-25 0,-3 0 9 0,3 1-14 16,-8 1-6-16,7 3 3 0,1 0-13 0,-5 0 13 16,7 1-8-16,-9 0-1 0,3 5 3 0,1 0-3 15,5 2-4-15,0 4-5 0,-2-3-11 0,2 4 7 16,0 0 4-16,0 1-7 0,7 0 11 0,-3 3-13 16,-2-2-2-16,0 2 7 0,3 0-4 0,-1-4 7 0,3 0 13 15,-3-5-9-15,3 2 11 0,0 0-9 0,-3-2 20 16,5-1-10-16,-2 0 10 0,-3 0-8 0,3-1 19 15,-1-1 0-15,1-3-4 0,2-2 3 0,2 1-14 16,3-1-2-16,1-5-2 0,-2 3 0 0,3-7-7 16,2-1-20-16,2 2-3 0,0-6-5 0,2 2-12 0,0-1-75 15,3-1-50-15,-3 1-10 0,-2-3-157 0</inkml:trace>
  <inkml:trace contextRef="#ctx0" brushRef="#br0" timeOffset="1">7913 2908 437 0,'0'-1'60'0,"0"1"212"0,-3 1 82 0,3-1-251 15,0-1-74-15,5-4-36 0,-2 0-3 0,4 1-7 16,3-1 7-16,0-2 8 0,2-1-3 0,-3-1 5 16,4 1 2-16,0 1 8 0,-1 1 14 0,3 2-4 15,1 0 27-15,-1-1 9 0,1 2-15 0,0-1 13 16,1 0-17-16,1 1-10 0,2 1 2 0,2 1-7 0,-7 1-11 15,-1-1 7-15,1 1-5 0,-5 2 4 0,0 0-19 16,4 3 2-16,-3 0 3 0,-4 2 0 0,0 0 2 16,3 2-7-16,-7-1 2 0,4 4-5 0,-2 3-5 15,-1-1 12-15,6 5-6 0,-3-1 9 0,-2-2-6 16,-1 2-9-16,-4 3 4 0,-3-4-5 0,3 5 11 0,0 0-11 16,0-7 5-16,-1 6-6 0,-6-3 14 0,-2-3-25 15,3 5 6-15,-6-5-13 0,5 6 3 0,1-1 5 16,-8-6 0-16,6 3 2 0,-3-7 7 0,-5 0 5 15,5 0-1-15,0-1 3 0,-5 1 6 0,-2-5-7 16,8-1 7-16,-4-1-7 0,2 0-6 0,6-2 19 16,-9-1-7-16,6 1 12 0,-3-1-9 0,-1-1-7 15,3-1 3-15,-2-3-2 0,3 1 6 0,-2-2 8 16,4 0-8-16,0 0 8 0,-1-1-3 0,3-1-7 16,-2-2 4-16,1 1-4 0,2-3 5 0,1 6 6 15,3-2 0-15,0 5 2 0,0-2-6 0,3 0 6 16,-3 2-3-16,2-1 4 0,2 4-2 0,0-2-5 15,-1 2 2-15,4 1-3 0,-3-2 5 0,5 3-4 0,-2-1 5 16,0 3-6-16,3 3-5 0,-1-2 2 0,-2 2-6 16,2-3 5-16,-2 1-4 0,2 2-2 0,1 5 1 15,8 0 0-15,-1 2 3 0,0-1-2 0,3-1-7 16,-13 1 5-16,8 1-1 0,-6 3 1 0,-6-2 9 0,5 0-6 16,-8-2-4-16,9 2 8 0,4 1-8 0,1-2 10 15,1 0 1-15,-8-3-12 0,-1 1 6 0,1-1-10 16,-2-3-8-16,5 5-19 0,2-1-22 0,-8-7 5 15,5-1-38-15,-5-4-9 0,-1-5-27 16,6 5 4-16,-4-1-78 0</inkml:trace>
  <inkml:trace contextRef="#ctx0" brushRef="#br0" timeOffset="2">8090 2832 4 0,'-5'-2'17'0,"1"2"-8"0,-7-2 8 0,11 2-10 16,-2 0-9-16,4 0 19 0,3 0-19 0,-5 0 20 15,0-1-17-15,-2 1 25 0,-1-1 19 0,3 0-6 16,0 1 6-16,0 0 34 0,-4 0-11 0,4 0 23 15,2 0-5-15,-2 0-24 0,0-2 5 0,-2 2-9 16,-1 0-10-16,3 0 5 0,-2 0-11 0,2-1 12 0,2 1-8 16,-2 0-13-16,0 0 2 0,0 0-7 0,0 0-13 15,3 0 14-15,-1 1-7 0,-2-1 10 0,0 0-2 16,-5-1-4-16,5 1 7 0,5 0-7 0,0 1-7 16,-5-1-4-16,0 0-6 0,-3 2 4 0,1-1-4 0,4 1 0 15,-2 2-2-15,-2-2 0 0,0 4-6 0,-1-2-1 16,3 1 1-16,-3 2-1 0,4 0 1 0,-2 4-5 15,1-1 3-15,-1 2-4 0,-5 1 0 0,3 2 5 16,1 0-1-16,0 5 4 0,-1 0-2 0,-1 4-3 16,-2 0 6-16,4-3-6 0,-5 1-2 0,4 1 11 15,-1 3-13-15,-3 2 14 0,3 2-7 0,-1-3-9 16,1-2 10-16,-1 0-9 0,-1-1 8 0,-1 1 1 16,0-2-6-16,1 1 4 0,-1-3 4 0,3 1-2 15,-1-2 3-15,3-2-3 0,-1 2 1 0,-1-3-10 16,2 2 0-16,0-4-3 0,0-3 12 0,-1-2-2 15,3-3 0-15,0 6-4 0,-2-2-11 0,2-5-12 0,-2-4-9 16,2-1-2-16,-3-1-25 0,3 0-59 0,0 3-15 16,0-7-20-16,-2-1-79 0</inkml:trace>
</inkml:ink>
</file>

<file path=xl/ink/ink19.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13"/>
    </inkml:context>
    <inkml:brush xml:id="br0">
      <inkml:brushProperty name="width" value="0.05153" units="cm"/>
      <inkml:brushProperty name="height" value="0.05153" units="cm"/>
    </inkml:brush>
  </inkml:definitions>
  <inkml:trace contextRef="#ctx0" brushRef="#br0">11189 1588 309 0,'2'6'121'0,"-4"-3"-52"0,0-3-24 0,-1-2 4 16,3 2-25-16,0 0-17 0,5 0 5 0,-7 2-8 15,4-2 4-15,0 5 16 0,3 1-2 0,8 4 9 16,-8-3 28-16,2-5-16 0,-4 1 11 0,4-2-14 0,3 4-4 16,-5-2-9-16,0-3-11 0,2 0 6 0,-2 0-8 15,4 2-2-15,4 1 7 0,-5-2-7 0,-1 0-10 16,0-1 8-16,0-1-8 0,-3 0 10 0,5 0-2 0,-4-1-7 16,-1 1 3-16,-1 0-5 0,-2-4 0 0,1 4 18 15,3-1 5-15,-5-2 4 0,0 4 10 0,0-5 0 16,0 2 5-16,0 1-1 0,0 2 7 0,-2-4-30 15,-2 2 8-15,2-3-12 0,2 4 6 0,0 1-13 16,-7-2-2-16,7 4 0 0,-7-4 2 0,1 2-5 16,-1-4-1-16,0 1 1 0,5 6 8 0,-3-1-11 15,5 3 9-15,0-3-9 0,0 1 21 0,-5-2-20 16,2 2 5-16,0-1-9 0,-1-2 9 0,-6-1 4 16,4 2-4-16,-3 0 2 0,4 1-22 0,0 1 8 15,2 1 3-15,3 1 3 0,-4 2 20 0,8 4-17 16,-6-6 6-16,0 4-9 0,-1-2 2 0,-6-3-2 15,5 2 0-15,2 1 1 0,0-2 2 0,-1 1-1 0,3 1 0 16,6 0 1-16,4 2 4 0,-1-2-6 0,-9 0 4 16,0-2-4-16,0-1 1 0,2 1-4 0,11 1-1 15,-4 0-1-15,-3-2 3 0,4 2-2 0,-6 0 2 16,-1-1-1-16,10 2 5 0,-4-1-16 0,-3-1 7 16,5 1-9-16,-1 1 7 0,-7-1 0 0,7 0-8 0,-3 0 6 15,-2 0-4-15,3-1 1 0,-1 2 1 0,0 2-2 16,-2-2-2-16,2 0 1 0,0 2-4 0,-1-2 3 15,-1 0 6-15,-3 3-16 0,1-3 11 0,-3 0-14 16,-3 2 3-16,1-1 19 0,-4 1-11 0,4 2 13 16,-5-1-5-16,-3-4 0 0,5 2 2 0,-7-2-2 15,5-4 1-15,-1 3 4 0,-2-4-1 0,2 1 3 16,1 3 11-16,0-5-8 0,-6 4 6 0,6-3-7 16,-8-1 0-16,8 2 0 0,-5-3 5 0,2-5 0 15,-7 0 21-15,2-2-16 0,5 5 7 0,0 1-9 0,8 1 5 16,-11-3 3-16,1-2-9 0,-3-7 9 0,8 8 0 15,-1-3-10-15,-4-1 6 0,10 6-7 0,0 2 7 16,-1 0 0-16,-5-2-1 0,8 3 2 0,-7-6 5 16,5 2-5-16,2 3 6 0,-3-2-6 0,3 5-6 15,0-1 2-15,0-1-4 0,-2-2 5 0,4-1 5 0,-2 1-16 16,0 2 2-16,7 6-8 0,1-3 3 0,-3 2 0 16,0-4 4-16,2 2-2 0,-7 0 2 0,18 3-13 15,-9-1 12-15,11 2-10 0,2-5 22 0,-13 1-17 16,7-1 2-16,-1-1-3 0,-2 1 22 0,3-1-13 15,-1-1 5-15,-5 0-8 0,2-1 2 0,2-2-2 16,-1 0 2-16,2 3-2 0,2-4 6 0,-2-3-4 16,3 2 3-16,-2-4-3 0,-1 2-1 0,0 2 1 15,-1-2-7-15,-3-6 8 0,1 3 7 0,-4-1 6 16,3 2-2-16,-4 1 1 0,2-3-12 0,0-1 14 16,-3 1-8-16,3-1 9 0,-2 0-6 0,-4 1-2 15,1 0 8-15,0 2-9 0,-2-2-4 0,5 4 2 0,0-1-5 16,-7 1 5-16,2 3 3 0,-2-3-8 0,0 2 10 15,0-1-10-15,3 4 5 0,-6-3 11 0,1-1-3 16,2 4 5-16,-7-2-12 0,0-3 7 0,9 7-6 16,-7-3 7-16,3-2-1 0,1 5-15 0,-6 0 7 0,5 0-9 15,-3 0 0-15,5 2 2 0,-6-2-4 16,3 0 6-16,2 0 5 0,-4 0-13 0,5 4 7 0,0 2-10 16,-2 0 11-16,-1-2 0 0,1 2-6 15,2 0 3-15,-2 0 3 0,-1 3-4 0,3-1-2 0,-3 2-2 16,2 0 5-16,1-2-4 0,-2 3 4 0,2-2-6 15,0 1-5-15,0 0 1 0,2-1 3 0,0 1-1 16,3 1 1-16,-3-4-1 0,-2 3-1 0,2-1-1 16,1-1-8-16,1 4 14 0,0-5-4 0,-1 0 8 15,1-1 8-15,1 1-14 0,-1-1 7 0,-1-3-11 16,4 3 13-16,3 0-7 0,-3-3 5 0,4 0-6 0,5-1 7 16,-5-2-11-16,-4-1-4 0,8 0-1 0,-1-5-6 15,3-2 7-15,3 1-2 0,-2 0 4 0,-14-3 4 16,19 1 2-16,-13-2 5 0,4 0-4 0,4 1 6 15,-9-1 1-15,9 1 6 0,-3 1-2 0,-4-4 7 16,5 3-3-16,-7-3 4 0,0 0-2 0,2 0-4 0,-2-1 8 16,2 1-11-16,0-1 11 0,2 1-8 15,-3 2 6-15,-4-4 7 0,1 1-2 0,-3 1 3 0,1-2 2 16,1 5 3-16,-2-3 1 0,-1 1 7 0,-1-5-12 16,0 3 4-16,1-6-3 0,-1 2 4 0,0 3-16 15,2-2-3-15,-2 4-1 0,1-3 11 0,-3 4-4 16,2-3 5-16,-2 2-5 0,2 3 4 0,-2-3-9 15,0 0-6-15,0-1 0 0,0 0 11 0,0 3-4 16,-2-1 10-16,2 4-11 0,-2 0-4 0,2 1 10 16,-3-2-1-16,1 5 5 0,-2-2 4 0,2 2-15 15,-3 3-3-15,1-2-3 0,-1 2-2 0,0 1-6 0,2 0 2 16,-2 2-3-16,3 0 0 0,-5 3-3 0,3 2 2 16,0 2-2-16,-3 1 4 0,0 4-4 15,-2 2-1-15,2 3 0 0,-2 2 4 0,1 2-1 16,1-4 3-16,2 3-4 0,3 5 0 0,-5-5-1 0,3 7 2 15,0-3-2-15,-3-4-3 0,1 6-7 0,1-3 1 16,3 3-1-16,-3-1 3 0,0-2 10 0,-2-3-4 0,4-2 5 16,1 1-10-16,2 0 4 0,0-1 2 0,2-2 1 15,-2 0 5-15,0-4-16 0,2 0 4 0,4 2-8 16,1-1 4-16,4 1-2 0,-2-1-6 0,-7-9 4 16,5 1-5-16,-1 0 11 0,1-2 0 0,3 2 5 15,-3-1 12-15,3-2-10 0,1-3 7 0,0 2-8 16,1-5 1-16,1-1 10 0,0-3 0 0,1-6 4 15,-1 5 2-15,-2-7-2 0,2-2-12 0,1 4 7 16,-1-7-4-16,7 7 14 0,-5-6 6 0,-3-6-3 16,3 1-3-16,-1-2-6 0,4 0 4 0,-4 2-4 15,1 1 6-15,-10-3-8 0,3 6 1 0,1 1-2 0,0-2 9 16,7 5 4-16,-14-11 2 0,0 11 0 0,11 1-1 16,-15 1-2-16,11 11-1 0,-3-9 2 0,-10 2 8 15,13 2 1-15,-12-2 6 0,2-1-3 0,5 7 0 16,-11-7 5-16,7 8-9 0,0 2 10 0,-2-5-3 0,4 0-1 15,-1-2-5-15,-1 5 1 0,-3-3-16 0,-1 1-14 16,4 2 16-16,-5-5-12 0,5 7 30 0,0 1-19 16,-7-2 4-16,1 3-9 0,2 0-6 0,4 1 8 15,0-2-2-15,-10-2 6 0,4 2-3 0,2 11-5 16,1-5-2-16,1 4-1 0,-7-5 4 0,1 0-5 16,0 7 1-16,1-4-3 0,7 11 3 0,0-5 1 15,0 0 1-15,3 5 0 0,-8-7 5 0,-5-3-5 16,5 6 1-16,0-2-4 0,5 2 5 0,5 3-1 15,-3-3-1-15,-2-1 0 0,-4 0 0 0,-1 1-1 16,-2 0 3-16,7 0 0 0,-4 1-1 0,8 0-11 16,1-2 0-16,-8 0-1 0,10 1 6 0,-4-5 2 15,-3 1-4-15,2 0 2 0,-7-2-10 0,5 2 6 0,0-3 2 16,3-2-1-16,-1 0-11 0,3-2 11 0,3 3-6 16,3-2 10-16,0 0 7 0,-6-4-13 0,4-2 3 15,-2 0-9-15,-1-4-7 0,6 2 2 0,-2-1 1 16,4-7 2-16,-1 3 12 0,3-6-13 0,4 8 3 15,-7-9-7-15,2 0 11 0,-1 1 15 0,-7-9 0 16,6 6 5-16,-2 1 2 0,-2-2 2 0,0 2 5 0,-5 1-4 16,3 0-6-16,0 2 9 0,-2 1-10 0,0 4 13 15,0-1 8-15,-5 4-11 0,0-1 18 0,0 3-17 16,0 2 12-16,3-2-8 0,-6 0 0 0,3 1 0 16,0 1 6-16,-2-1-3 0,2 2-7 0,0 0 2 15,0 0-16-15,-3 0-4 0,2 3 2 0,-1-2-4 16,0 3 3-16,-1 1-2 0,3 2-4 0,-2 0 3 15,0 0 3-15,2 3-4 0,-3-1 4 0,3 3-3 16,0 2 8-16,0-2 4 0,3 2-3 0,-3-1 2 16,2 1-8-16,0 1 2 0,-2-7-2 0,3 4 2 0,0 0 0 15,2-2-2-15,2 2 1 0,0-4-2 0,-2 0 3 16,0-5-10-16,2 1 0 0,-2-2-5 0,0-1 4 16,-2 1-13-16,4 3-1 0,-4-7-7 0,1 1-21 15,2-4-26-15,1-3-17 0,3 0-3 0,-3-3-33 0,-5-2-79 16,1-2 130-16</inkml:trace>
  <inkml:trace contextRef="#ctx0" brushRef="#br0" timeOffset="1">12529 1573 238 0,'-8'-20'33'0,"5"17"214"16,-1-2 44-16,4 3-100 0,0-3-62 0,0 7-40 15,0 0-21-15,0 2 4 0,0-2-25 0,-3-9-16 16,3 8 5-16,0 2-10 0,0 0-22 0,5 12 16 15,-3-14-10-15,1 5 16 0,1 1 6 0,0-4-35 16,1 5 5-16,-1-4-14 0,3-2 5 0,-1-1 8 16,1 0-4-16,-2 6 5 0,-1-4 0 0,5 6-6 0,0 2 5 15,-2-6-5-15,4 7 2 0,-7 0-3 0,1-3 1 16,-2 3 1-16,4 1 7 0,-2 0-9 0,-5 2 5 16,5 2-7-16,-8-1 10 0,1 2-2 0,4-1-1 15,1 1 0-15,3-1-1 0,-5-2-3 0,-1 0-1 16,-3-2-1-16,3 1 2 0,2-1-6 0,1-1-5 0,-2-4 0 15,-2-1-7-15,-1-4-7 0,-1-3 3 0,3 0-6 16,0 0-6-16,-2 2 7 0,2-2-8 0,2-2 7 16,0 2-11-16,-2-4-18 0,3 0 15 0,3 1-17 15,-1-2 20-15,4-2 30 0,4-1-11 0,-11-1 20 16,1 0 7-16,1 1 0 0,-4 1 20 0,5 0-13 16,3 0 31-16,-8-1 12 0,2 0-1 0,5 0 7 15,4 1-4-15,3 1-17 0,-6 0 4 0,-1 1-8 16,-4 2-11-16,-8-1 12 0,7 3-8 0,-2 0 12 15,0 0-6-15,5 1 0 0,-5 1 1 0,3 3 0 16,2 0-12-16,2 4-12 0,-9-1-10 0,-1 3 6 0,1 0-8 16,-1 2-7-16,11 2 13 0,-8 0-8 0,0 1 7 15,-5-2-17-15,5 0-11 0,0-4 0 0,7-2-18 16,2 1-37-16,-3 3-28 0,6-4-4 0,-12 1-91 16</inkml:trace>
  <inkml:trace contextRef="#ctx0" brushRef="#br0" timeOffset="2">13092 1815 791 0,'-7'-1'46'0,"3"-2"-36"16,6 0-15-16,-5-1 1 0,1-2-3 0,-6 0 5 15,-1-2 14-15,1 2-7 0,1-1 18 0,0 1 18 0,-2 2 4 16,2 0 7-16,-2 1 18 0,-1 0-2 0,0 1 5 16,0 2-4-16,0-2-20 0,1 2 6 0,1 2-13 15,1-1 13-15,-4 5-14 0,0-1-18 0,-1-1-1 16,1 2-6-16,1 1-20 0,0 4 9 0,1-2-13 16,-1 0 12-16,0 3-7 0,2 1-2 0,-1 1 13 15,9 1-10-15,-10-2-8 0,2 0 16 0,6-2-7 16,0 1 11-16,10 1-16 0,-4-4-6 0,6-1-5 0,-8-2 3 15,4-2 0-15,-1-1-15 0,4 1-14 0,0 0 2 16,-1 0-24-16,4-2-2 0,1-5 10 0,-4-7-9 16,4 0 23-16,-1-1 31 0,-4 4 6 0,1-3 7 15,0 4 11-15,-2-5 4 0,4 1 0 0,-4 3 2 16,2-5-3-16,-2 5 22 0,-3-1-17 0,0 2 18 16,0-1-3-16,-4 4-4 0,3-1 17 0,-3 4-14 15,0 0 11-15,0 0-9 0,0 0 10 0,0 0-8 16,2 0 12-16,-4 0-34 0,-1 6 1 0,1-1-10 15,0 1 2-15,1 2 8 0,-4 0-11 0,3 1 9 16,-3 6-11-16,0-1-6 0,1-1 2 0,1 4-5 0,0-5-3 16,3 6-5-16,0 1 2 0,0 5-3 0,0-2 8 15,0-1-24-15,2 1 7 0,-2-5-11 0,1 1 23 16,-1 2-10-16,0 2 2 0,1 1-6 0,-1-2-4 0,0 1-35 16,0 1 10-16,-2-2-20 0,0 1-18 0,-3-2-21 15,3 0-33-15,-3-4 14 0,3 1-4 0,-1-3 13 16,2 0 22-16,-2-5-16 0,-1 3 31 0,2-2 64 15,-5-3 6-15,2-1 18 0,-1-4 31 0,-1 0-5 16,0-2 2-16,1 0-5 0,-1-6-23 0,3 1 9 16,-1-1-7-16,-4-7 11 0,3 2 0 0,1-3 7 15,-2-1 13-15,1 4-2 0,-3-4 26 0,0 0 22 16,-2 0-9-16,9 1 13 0,2 1-27 0,0 0-25 16,7 0-8-16,-4 1-2 0,2 1-18 0,4-1 11 15,1-1-21-15,2 0 12 0,4 0-48 0,0 2-80 16,4-2 84-16</inkml:trace>
</inkml:ink>
</file>

<file path=xl/ink/ink20.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16"/>
    </inkml:context>
    <inkml:brush xml:id="br0">
      <inkml:brushProperty name="width" value="0.29444" units="cm"/>
      <inkml:brushProperty name="height" value="0.58889" units="cm"/>
      <inkml:brushProperty name="color" value="#00FFFF"/>
      <inkml:brushProperty name="tip" value="rectangle"/>
      <inkml:brushProperty name="rasterOp" value="maskPen"/>
    </inkml:brush>
  </inkml:definitions>
  <inkml:trace contextRef="#ctx0" brushRef="#br0">120 93 153 0,'8'4'28'0,"-5"-7"6"0,-1 3-40 0,-2-3 75 16,-2 0-53-16,2 6-6 0,-5-4 2 0,-6-2-5 15,9 3-11-15,-3-2 25 0,3-3 2 0,9 7 14 16,-12-7 38-16,1 1-7 0,0 1 10 0,-3-5-11 16,7 9-12-16,-7-6-1 0,5 6-8 0,4-2 7 15,-6-5 5-15,4 8-18 0,2-2 15 0,-4 0-14 16,-1 2 12-16,-3-1-23 0,4 2 3 0,-3 0-7 16,-2-3 10-16,7 2-4 0,-7-2-2 0,4 0 3 15,3 4 9-15,-7-4-21 0,5 2 10 0,-5-3-12 16,7 1 9-16,2 0-6 0,-8-6 4 0,5 7-3 15,1-2 4-15,-1 1 0 0,1 2 0 0,2 0 1 0,-2-2-1 16,0 0-9-16,1 2-2 0,-3-3-1 0,-2 1-11 16,4 2 9-16,0-2-1 0,0 0 4 0,6 2-4 15,-1-2 10-15,-5 1-8 0,2-1 9 0,-4 0-14 16,-4 0 5-16,7 0 7 0,4 0-2 0,-11-3 8 0,6 5-9 16,0-2 3-16,-1 0-3 0,1 1 8 0,-4-4-10 15,4 3 0-15,3 3-3 0,-3-1-4 0,0-2 3 16,0 0-3-16,-5 0 3 0,3 0-3 0,2 3-2 15,0-2 1-15,0 0 0 0,-3 0-2 0,3-1-1 16,3 1 1-16,-1-1 0 0,3 2 10 0,-3 1-7 16,-2-3 2-16,-1 0-2 0,-3 0 3 0,2-1-9 15,2 1 6-15,2 1-6 0,-4-1 9 0,4 3-3 16,-11-3 3-16,4 0-2 0,5 0 4 0,-2 1-4 16,7 3 0-16,-5-2-1 0,-3 2-1 0,6-1 6 15,-3-1-3-15,0-1 4 0,0 0 0 0,0-1-9 16,0 2 0-16,0-2-2 0,-3-1 13 0,3 2-11 15,-8-1 12-15,6 0-14 0,2 2 5 0,6 5-2 16,-4-3-1-16,0-3 2 0,-2 0 3 0,-2-2-5 0,2 1 1 16,-1-1-2-16,1 2-6 0,-2-1 2 0,-1 0-1 15,3 0 5-15,-2-3 4 0,7 6-6 0,-2-2 3 16,-5-2-2-16,2 1-2 0,-1 0-1 0,-2-3-1 16,6 7 2-16,2-3 2 0,-5-1 1 0,5 3-2 15,7 2 2-15,-17-5-6 0,10 0 1 0,-2 0 0 16,-6-2 2-16,3 4 3 0,4 1-5 0,7 0 6 0,-6-2-6 15,-1-1 4-15,4 1-3 0,-8 0 1 0,7 2-1 16,4-1 4-16,1-1 0 0,-1-1-4 0,-3 0 3 16,4 3 0-16,-6-2-5 0,1-1 2 0,3 0-1 15,4 2 2-15,-3-5-2 0,5 4 2 0,-3 0-2 16,1-1 1-16,-1 4-1 0,0-3 0 0,1-1 0 16,-1 0 3-16,1 1-3 0,-2 0 1 0,2 1-1 15,-1-2 3-15,0 0-1 0,-1-5-2 0,10 5 1 16,-2 0-1-16,-1 0 0 0,-1 1 3 0,-6-3-1 15,7 2-1-15,-5 0 1 0,-3-4-2 0,11 5 0 16,-15-4 3-16,11 3-3 0,4 3-1 0,-11-3 1 0,2-1 5 16,-1 1-6-16,-2-2 1 0,0-1-3 0,7 4 3 15,-4 1 0-15,-1-1 0 0,3 1 0 0,-3-1 4 16,-4-2-5-16,6 1 3 0,-5 0-3 0,2 1 6 16,1 3-7-16,0-4 1 0,-3 0-3 0,2 0 4 0,-2-1 2 15,-1 3-1-15,2-1 1 0,-2 1-4 0,1-2 2 16,3 0-2-16,-2 0 2 0,4 0-1 0,-1 1 1 15,0 3 1-15,1-4 0 0,-1 0 2 0,1 0-3 16,3 0 0-16,1 2-1 0,-4-2 3 0,-1 0-3 16,-4 1 1-16,6-1-2 0,-3 0 4 0,3 0 0 15,-4-3-4-15,-2 0 2 0,6 3 0 0,1 0 1 16,4 0 3-16,-2 0-1 0,4-2-1 0,-5 2-5 16,0-2 3-16,-2 1-3 0,2 1 7 0,1-1-4 15,3-1 0-15,-4-2 0 0,1-2-1 0,-1 3 7 16,-3 2-8-16,4 1 6 0,-1 4-12 0,6-5 8 15,-6-2 0-15,5 1 2 0,-3-4-2 0,-4 2 0 16,0 3 2-16,2-2-2 0,-2 2 0 0,2-1-4 16,8-1 4-16,-9 0-2 0,5 3 6 0,2 0-2 0,-8-4-1 15,8 5 0-15,-1-1-1 0,-5-1-2 0,5 0 0 16,-4-2 0-16,3 2 2 0,1-1 0 0,-2 2 0 16,-3-1 0-16,1-2-1 0,-2 3 1 0,2 0-1 15,2 3 2-15,-3-3 0 0,3 0-3 0,-6 0 2 16,6 0-3-16,0 6 6 0,-1-6 0 0,6-2-3 15,-11 1 0-15,-4-5-4 0,3 6 2 0,1-1 2 0,-1-2 0 16,7 5 1-16,-1-1 0 0,-4-1-2 0,2-1 1 16,0-2 0-16,6 2-3 0,1-3 3 0,0 4-2 15,-2 0 1-15,-5-7 0 0,1 6-2 0,-1-4 1 16,2 3 0-16,1 3 1 0,-3-1 1 0,3 2 0 16,0-2 0-16,0-1 1 0,-3 0-1 0,2 0 0 15,-1 2 0-15,1-1-2 0,-1 0 1 0,-4-3 0 16,-1 2 3-16,1 0-5 0,6 2 6 0,-3 0-5 15,-2-2 2-15,7 2 3 0,-5-1-5 0,3-1 3 16,-1 1-1-16,1-1-1 0,2 1 1 0,-4 1 0 0,1-1 0 16,-4-1 0-16,2-1-1 0,-2-1-1 0,4 2 3 15,-2 0-1-15,3 1 2 0,2 2-3 0,-2-2-1 16,-3-4 2-16,6 3 0 0,-4-1 0 0,3 2-1 16,-5 0 3-16,1 1-2 0,-2-1 3 0,-1 0-4 15,10 9 1-15,-10-9 0 0,2 0 0 0,-5-5 0 0,3 2 1 16,2 3-2-16,-2 4 0 0,2-2 0 0,0 0-2 15,-5-2 4-15,1-3-1 0,1 3 3 0,-3-2 2 16,3 2-5-16,-1-2 2 0,-2 2-7 0,0 2 4 16,-2-1-1-16,2-1 1 0,-2-4 1 0,-1 2 0 15,1 1 0-15,3 3-1 0,-4-1-6 0,2 0 7 16,0 1-4-16,-1-4 4 0,2 2-2 0,-4 0-2 16,-2-1 2-16,2 2-2 0,-2 3 2 0,2-3 1 15,0 1 1-15,-2-2 1 0,3 1-1 0,-3-1-1 16,2 1-1-16,-2 0 2 0,3-1 1 0,1 3-3 15,-2-3 2-15,1-2-2 0,-8 0 4 0,3 0-2 0,-1 0 0 16,0 2 0-16,1 0 1 0,6 3-3 0,-1-3 1 16,-6-3-2-16,3 5 3 0,-3-6 0 0,-4 1 2 15,9 6-2-15,-1-3 5 0,-4 1-1 0,10 2-4 16,-10-3 1-16,-2-4-1 0,4 4-5 0,-4-3 5 16,2 1-4-16,5 2 7 0,-2 0-7 0,1 0 3 15,1 1-4-15,-3-1 10 0,1 0-4 0,0-1-1 16,-3-5-2-16,4 7-1 0,-2-3 0 0,1-1 4 0,0 3-2 15,3-1 0-15,-1 0-1 0,-2 0-1 0,2 1 0 16,1-6 3-16,1 6-3 0,2 2 2 0,-2-1-1 16,-1 5 3-16,-1-6 1 0,0 0-3 0,-2-5 1 15,-2 2 0-15,2 3-4 0,0-1 6 0,-1 2-4 16,-1 1 2-16,-1-3 0 0,3 0-1 0,0 1 1 16,-2-3 4-16,1 5-3 0,1-2-1 0,-3 0 0 15,2 1-2-15,-1-2 0 0,1 2 2 0,1-5 0 16,-3 0 9-16,3 3-13 0,-3-2 4 0,0 4-5 15,-1-1 5-15,4 1 1 0,-3-1-1 0,1 0 2 16,-1-2-3-16,0 0 1 0,1 1-1 0,-1-1 2 0,0 2 0 16,-2 0-3-16,2-1-1 0,0 1-1 0,0 0 4 0,1 0-1 15,-3 0-1-15,0 0-2 0,4 4 2 16,-4-2-10-16,3-1 4 0,-1 0-6 0,-4-5 3 0,2 4-10 16,0 0-1-16,0 0-4 0,0-4-5 0,0 4-15 15,0-2-13-15,0 5 1 0,2-1-26 0,-2-7-59 16,0 0-42-16,-7-8-13 0,0 5-161 0</inkml:trace>
</inkml:ink>
</file>

<file path=xl/ink/ink21.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17"/>
    </inkml:context>
    <inkml:brush xml:id="br0">
      <inkml:brushProperty name="width" value="0.29444" units="cm"/>
      <inkml:brushProperty name="height" value="0.58889" units="cm"/>
      <inkml:brushProperty name="color" value="#FFFF00"/>
      <inkml:brushProperty name="tip" value="rectangle"/>
      <inkml:brushProperty name="rasterOp" value="maskPen"/>
    </inkml:brush>
  </inkml:definitions>
  <inkml:trace contextRef="#ctx0" brushRef="#br0">213 5 259 0,'-7'1'42'16,"3"1"-16"-16,-7-2 52 0,4 0-33 0,7 5-11 16,-5-7-1-16,3 5-27 0,-4-4 9 0,-1-6-9 0,-2 7 12 15,2-5 19-15,-1 4 5 0,-2 1 10 0,3 1-7 16,-1-1-9-16,-1-1 18 0,1 3-5 0,-2-3 11 16,1 1-5-16,1 6-17 0,-2-5 1 0,2 7-7 15,1-6-16-15,-2-2 1 0,1 0-6 0,1-2 7 16,0 7-3-16,2-2 1 0,2 2 9 0,0-2-5 15,1-3 5-15,0 0-10 0,2 0-5 0,0 1 4 16,0 2 16-16,2 0-14 0,1-3 17 0,0-4-14 16,1 3 15-16,3 6 5 0,0-1-5 0,4 0 7 15,-2-2-13-15,2-2-6 0,3 0 3 0,-1 0-2 16,2 1 3-16,1-2-9 0,4 1-5 0,0 2 2 16,4 3 3-16,1-3 2 0,-3 2 4 0,0-4 0 0,-2 3 0 15,2-2-15-15,1-1 5 0,6 5-6 16,-2-5 17-16,5 0-14 0,5 1-1 0,-6-3-3 0,4 4 1 15,-1-3-7-15,-3 1 4 0,-2 2-3 0,0-2 9 16,-1 0-11-16,4 0 3 0,-1 0-4 0,1 3 11 16,3 2-10-16,-8-5 5 0,2 1-5 0,1 0 10 0,-3 0-3 15,9 0 1-15,-5 4-1 0,-2-3-10 0,0-1 16 16,-2 2-8-16,3-1 13 0,2 1-6 0,-3 1-5 16,-1 0 4-16,1-2-4 0,1 1 6 0,-1-3-2 15,1 2 1-15,-5-1-2 0,2 0-3 0,-1 1-6 16,1 0 2-16,4-2-1 0,-2 0 18 0,0 0-14 15,-4-1 2-15,1 3-6 0,3 1 3 0,-3-1-2 16,-3 0 1-16,1-1 0 0,-2-1 2 0,3 0-2 16,-3 0 0-16,5 0 0 0,-5 2-1 0,-4 1 5 15,3-1-1-15,-1 1 3 0,-5-3 2 0,5 1-8 16,2-1 1-16,-8 0-4 0,8-1 8 0,-2-2-13 16,-5-1 12-16,5 0-10 0,4 2 21 0,-4 0-14 15,5 1-2-15,-5-3-1 0,1 1 4 0,-1 1-3 0,-1 0 1 16,1 0-1-16,0 0 3 0,2-2-5 0,-2 3 4 15,1-3-4-15,0 1 11 0,0 0-8 0,2 0 1 16,-4 1-2-16,6 1 6 0,-3-1-10 0,-7-1 5 16,3 1-5-16,1-2 7 0,-2 5-3 0,5-2-1 15,3 1 0-15,-1-2 0 0,1-3 0 0,-1 5 1 16,-4 0 1-16,0 0 1 0,-2 0 6 0,-3-4-9 0,-1 0 7 16,1 4-10-16,-1-2 2 0,1 4 6 0,10 0-4 15,-10-2 3-15,1 1-5 0,-3 1 0 0,-3-2-1 16,7 0 6-16,1-2-6 0,-1-6 4 0,-3 6-3 15,-3 0-1-15,5 2 2 0,2 6-2 0,-6-8 2 16,2 4 1-16,2-2-1 0,-5-2 2 0,7 4-2 16,-8-4 2-16,4 0-5 0,-1 3 2 0,-1-1-2 15,-2 1 6-15,4 6-2 0,2-4 0 0,-1 0-1 16,-1-2 1-16,-1-1 0 0,-2 0 0 0,0 0 0 16,2 2 1-16,1-2-3 0,-5 0 4 0,2 3-4 0,-2-1 3 15,-3 0-1-15,-2-1-2 0,6 2 4 0,-5-3 9 16,3 0-12-16,-1-1 3 0,-7-6-4 0,7 7 17 15,-4 0-21-15,7 2 10 0,-1 3-13 0,-6-2 12 16,2-5-6-16,-5-1-2 0,2 0 0 0,1 1 4 0,1 2-1 16,3 0 2-16,2 1-1 0,0-2 9 0,-2 2-9 15,-1 0 3-15,-4-1-5 0,8 0 1 0,0 3-1 16,-5-3 2-16,6-1-1 0,-2-1 4 0,-2-3-4 16,4 3 2-16,-11 0-1 0,1 2 12 0,4 0-17 15,-3-4 9-15,5 4-10 0,2-5 10 0,0 5-2 16,-2-1-3-16,0-1 1 0,1 0-3 0,-3 0 4 15,-3 0-2-15,6 0 3 0,-3 2 0 0,2-4-3 16,2 5 2-16,-5-1-1 0,1 0-1 0,4 4 0 16,0-3-1-16,-1-4 1 0,2-1 2 0,-2 4-5 15,-3-2 5-15,4 4-5 0,-2-2 3 0,1-4-3 16,2 2 1-16,0-1 0 0,-1 1 4 0,1 1-4 16,0 2 2-16,-3 0-1 0,1 3 4 0,-3 1-1 15,2-3-2-15,-2-2 0 0,-2 4-6 0,2-4 2 0,-3-4 0 16,3 4 0-16,-3-3-1 0,5 6-10 0,-3 2-8 15,1-4 0-15,-5 3-15 0,0-11-33 0,2 4-3 16,-2 0-13-16,0 0-24 0,2 8-49 0,-2-7-56 16,0-1-2-16,0-1-196 0</inkml:trace>
</inkml:ink>
</file>

<file path=xl/ink/ink22.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18"/>
    </inkml:context>
    <inkml:brush xml:id="br0">
      <inkml:brushProperty name="width" value="0.05153" units="cm"/>
      <inkml:brushProperty name="height" value="0.05153" units="cm"/>
    </inkml:brush>
  </inkml:definitions>
  <inkml:trace contextRef="#ctx0" brushRef="#br0">17 1089 164 0,'-2'-6'60'0,"4"6"-10"0,-2-3-4 0,5 3-1 15,-1 4-23-15,-8-10 5 0,4 6-22 0,0 0 16 16,-5 0-16-16,5 2-12 0,-4-7 18 0,-1 1-17 15,0 2 4-15,2 1 7 0,3 4-9 0,-7-3 12 16,2 0 5-16,-2-4 1 0,4 4 4 0,-2 0-3 16,0 0-9-16,5 9 9 0,-4-10-12 0,1 2 13 0,1 6 3 15,-3-7-4-15,2 7 13 0,1-5-13 0,-1 0-3 16,-1-2 20-16,4 0-13 0,-5-2 17 0,1 4-13 16,3 3 5-16,0-3 6 0,1-1-4 0,0 0-3 0,0 3 9 15,0-4-9-15,0-2 11 0,-2 2-13 0,2-1-3 16,-3-4-2-16,3 5-1 0,0 0-7 0,0 0 2 15,0 4-2-15,0-3 2 0,0-1 3 0,0-2-12 16,0 1 11-16,0-1-10 0,3 0 21 0,-1 4-15 16,-1-2 4-16,0-1-5 0,1 2 12 0,0 3-8 15,3-3 2-15,-3-1-4 0,0-1 3 0,3 1 2 16,-3-4-2-16,3 4 2 0,-2 0 5 0,0 0-12 16,1 3 5-16,1-3-8 0,0-3 5 0,1 0-4 15,-2 1 0-15,1 2-1 0,2-2 4 0,-2 4-7 16,-2-8 9-16,6 3-7 0,-2 1 11 0,9 3-14 15,-4 5 1-15,-5-7-5 0,3 1 6 0,-10-6-3 0,0 5 1 16,6-1 0-16,-2-1 5 0,6 1-9 16,7 2-1-16,-10-4-2 0,4 8 12 0,-4-4-4 0,-7-4 8 15,7 4-9-15,1 0-4 0,1 0 7 0,4 0-3 16,-8-2 6-16,2 1-2 0,-3-6-5 0,9 8 3 16,-1-1-3-16,-4-5-3 0,6 8 9 0,-8-9-1 15,6 2 5-15,3 5-6 0,-3-2 1 0,0 1-8 16,0-5 5-16,-1 7-9 0,0-2 6 0,-3-4-2 0,4 5 3 15,-6-2-2-15,3-1 0 0,1 2 4 0,-3 1-5 16,3-2-6-16,-3 3 10 0,4-3-5 0,-4 1 8 16,2 0 1-16,-1 0-4 0,-3 1-1 0,2-2-1 15,0 0 2-15,1 0 0 0,1 1 7 0,0 0-6 16,0 2 1-16,-1-2 3 0,6 2-8 0,-5-2 6 16,2-1-6-16,-2 1 1 0,-3-3 2 0,1 1-1 15,0 2 0-15,0 0-2 0,-1 0 2 0,6 5-1 16,-6-5-3-16,5 1 3 0,0-1-2 0,-4 0 3 15,2 0 5-15,-2 1-13 0,-1-1 8 0,3 0-10 16,-1 0 10-16,-1-2-1 0,-2 2-1 0,4 0 2 0,-3 1-1 16,8 3-3-16,-1-1 0 0,5 2-2 0,-4-5-2 15,1 0 6-15,-1 1-1 0,-4-3 3 0,6 3 4 16,-2 3-9-16,1-4 4 0,-4 0-5 0,-4 0 2 16,6-3 11-16,2 6-14 0,-1-3 11 0,4 1-17 0,-3 0 5 15,-1-1 8-15,-1-1-5 0,1-2-8 0,-1 1 13 16,2 0-3-16,0 2 6 0,-1 1-6 0,4 2 3 15,-7 3-4-15,9-6 3 0,-5 0-4 0,3 3 7 16,-2-3-4-16,-3 1 5 0,5 1-11 0,-7-3 3 16,2 2-1-16,1 0 2 0,-1-1 4 0,2 0-3 15,2 3 10-15,2-2-9 0,1 0 8 0,0-1-4 16,-1-6-4-16,-6 3 4 0,-2 3 3 0,2-3-9 16,2 3 1-16,1-1-2 0,0-4 5 0,-1 4-3 15,0 2 4-15,-1-1-4 0,-2-2 5 0,1 3-4 16,0-1-1-16,-2 3 0 0,5 0 6 0,-2-4-8 15,-2 1 4-15,4 1-4 0,0-2 7 0,-6 1-5 16,4-1 4-16,2 0-4 0,-7-2 2 0,4 3 10 0,7 4-17 16,-13-5 13-16,6 2-16 0,-2-1 4 0,-5 0 9 15,6 1-5-15,-3-1 0 0,2 1 1 0,-2-1 0 16,-2 0 3-16,6 0 0 0,0 0-4 0,1 0 1 16,-2-5-1-16,4 7 10 0,-2-1-6 0,-1-2 0 15,4 10-1-15,-1-6 10 0,-3 0-16 0,5-1 4 16,-4-4-7-16,1 1 14 0,-1 1 0 0,1 0 1 0,-1 6-3 15,6 1 1-15,-2 1-3 0,-1-6 4 0,3 3-4 16,-6-8 2-16,6 3-3 0,-5 0 1 0,-2-1 0 16,1 5 5-16,-3-4-8 0,2 2 2 0,7 2-3 15,-8-4 10-15,3 3-12 0,-2-2 7 0,-8-2-7 16,6 1 12-16,0 0-6 0,-2 0-4 0,-1-1 0 16,2 1 1-16,-1-1 5 0,-1 0-1 0,6 2 0 15,-1 0-1-15,4-1-6 0,3 4 6 0,-3-4-6 16,-2 0 8-16,-3-2-6 0,-2 2 5 0,4-2-5 0,-3-1 5 15,0 4-6-15,0-1-3 0,0 1 1 0,0-1 6 16,3 0-1-16,-1 0 0 0,1 1-1 0,-1 0 5 16,-3-1-5-16,2-1 3 0,-3-2-3 0,2 3-1 15,2 0-4-15,-6-2 2 0,4 2 0 0,2-2 5 16,-1 2 0-16,1 0 3 0,1 1-2 0,5 5 2 0,-6-8-3 16,0 2-3-16,-1-1 3 0,-2-3 5 0,0 3-12 15,4 2 3-15,-1-3-7 0,-3-1 16 0,6 3-3 16,-3-2 3-16,1 2-5 0,-1-1-5 0,-4 1 0 15,-2-4 2-15,9 4 0 0,-3 0 0 0,4-2-2 16,3 2-1-16,-4-5 0 0,-1 1 5 0,1 2 0 16,0 2-1-16,-1 3 0 0,1-1-1 0,2-1-2 15,-3-2 0-15,3 1-1 0,-2 0 8 0,4 0-5 16,0 0 1-16,-3 0-1 0,-2-6 0 0,2 3 0 16,0 3 1-16,3 0-1 0,2 4 0 0,3-2 1 15,-9-2 1-15,2 1 0 0,2-1-4 0,-3 1-2 16,3-2 3-16,-1-3-1 0,0 3 6 0,-1-1-2 15,2 2-2-15,-3 0 0 0,0-2 3 0,0-2-3 16,1-6 1-16,-1 10-1 0,-3 0 0 0,4 0-1 0,-3 0 2 16,-1-5-1-16,4 0 6 0,-3 2-9 0,3 5 3 15,0-2-5-15,-3-2-1 0,5 2 7 0,-4 0-2 16,-3-4 5-16,2 3 1 0,-3-2-7 0,-4 0 3 16,9 4-3-16,0 0 1 0,-2 1 0 0,-1 0-1 15,-1-1 2-15,-4-5 6 0,2 0-7 0,3 1 3 16,-4-5-4-16,6 14 3 0,0-3-5 0,-3 0 4 0,1-3-3 15,-1 0 7-15,-2-1-4 0,5 4-5 0,-4 5 2 16,0-11 2-16,1 5-2 0,1-5 3 0,-1 4-1 16,7 1 5-16,-4 2-4 0,8 4-3 0,-4-5 0 15,0 0 1-15,-7-4-4 0,-4-3 6 0,9 8-3 16,2-1 7-16,-2 2-7 0,2-2 5 0,0-2-4 16,-5-1 7-16,5 4-5 0,2 1-1 0,-8-5-1 15,4 2 5-15,-1-1-3 0,-3-3 0 0,4 2 0 16,-1-1 0-16,-1 1-4 0,3 0 4 0,-2 1-2 0,0-1 6 15,-4 0-7-15,-1 0 5 0,2-2-4 16,1 0 7-16,0 0-5 0,5 2-1 0,-1 5 0 0,3-4-1 16,-5-1 2-16,1-1-2 0,-3-5 2 0,-3 0 3 15,1 6-2-15,4 0 5 0,-3 0-5 0,11 6-1 16,-5-9-2-16,-11 0-6 0,6 3 6 0,-3-4 0 0,5 4 4 16,6 3 4-16,-1-3 0 0,-5-3 4 15,3 3-16-15,-5-7 4 0,2 5-7 0,-2 0 11 0,1-2-2 16,4 3 3-16,-5-3-2 0,0 2-1 0,-1-1 1 15,2 4-2-15,-1-1 2 0,3 0-4 0,-2-4 1 16,-4 0 1-16,6 0 0 0,-4-2 1 0,8 6-3 16,0-1-1-16,-10-5 1 0,6 5 3 0,-1-4-9 15,3 1 10-15,9 5-9 0,-2-4 17 0,-3 1-7 16,1 1-7-16,0-3 4 0,-2 0 1 0,0-2-6 16,5 1 6-16,-3-1-8 0,2 6 11 0,0 0-5 15,-3-3 2-15,3 0-5 0,1-6 2 0,3 5 3 16,1-2 1-16,0 3 0 0,0 1-1 0,0 0-3 15,-5 0-2-15,-2 1 1 0,2 0 5 0,7-5-4 16,-5 4 4-16,4-3-3 0,-4 1 8 0,-4 4-10 0,1-3 2 16,1 2-5-16,6 1 7 0,-6-5 0 0,-3 5 2 15,6-1 0-15,-8-3 2 0,8 5-4 0,-5-2-9 16,-3 0 6-16,5-1 5 0,-3-1-3 0,8 4 8 16,-5-1-9-16,0 3 2 0,-2-3-1 0,0 1 0 15,-5-1 1-15,-1 0 0 0,2 1-3 0,-1-1 3 0,0 0-2 16,5 1 7-16,-5-1-5 0,-3 0-4 0,8 3 1 15,-6-3 4-15,6 3-4 0,-1 0 2 0,-5-1-4 16,3 0 2-16,-1 4-3 0,4-2 6 0,-6-2-4 16,-2-1 10-16,3-2-7 0,0 1-5 0,9-1 0 15,3 4-11-15,0 6 9 0,-5-1 3 0,-2-2 2 16,-1-2 5-16,1 0-13 0,-1-2 11 0,3 6-10 16,-5-4 25-16,4-2-14 0,3-2 7 0,-8 0-8 15,5 3 2-15,-4-3-2 0,-6 0-3 0,7 0 3 16,-6 1 1-16,3 0-1 0,-3 3-4 0,2-4 4 0,-1-3 10 15,6 3-11-15,-2 3 10 0,-4-3-11 0,2 0 2 16,-5-3-2-16,1 0 1 0,-3-2 1 0,2 5 6 16,2 2-6-16,-2-2-2 0,0 3 0 0,4 0 3 15,-2-2-2-15,3-1 5 0,0 2-4 0,0-2 0 16,-9-4-7-16,9 1 4 0,-2 3-3 0,-7-2 17 0,9 1-11 16,-4 4 0-16,0-3-2 0,4-2 8 0,4 4-7 15,-6-7 1-15,4 2-4 0,0 3 4 0,-2 0-1 16,2 0 2-16,-7 2-2 0,-1-7 8 0,4 3-13 15,2 0 6-15,-2 2-9 0,2 3 15 0,-2-3-5 16,-3-5 2-16,2 2-3 0,2 1 5 0,-1-1-6 16,4 9 2-16,5-7-2 0,-5 1 1 0,0-2-3 15,-7 0-1-15,-3 4 0 0,5-2 14 0,3 5-11 16,3-5 4-16,-4-6-6 0,4 4-3 0,-9-8 6 16,5 10-3-16,1 5 4 0,2-2-6 0,3-3 2 15,-3-2 3-15,0 2 0 0,1-3 5 0,-4 9-5 16,1-3-1-16,5-4 0 0,2 2-3 0,-3-4 4 15,5 4-1-15,1 4 2 0,-6-2 1 0,4 3-3 0,-7-1 1 16,1-5-1-16,9 4 3 0,-2 0-2 0,2-5 0 16,-5 2 0-16,-1 0 6 0,-1 0-5 0,-6 2 2 15,3-2-3-15,-4 0-6 0,1-1 9 0,-2 1-3 16,2-1 7-16,1 4-5 0,-1-2-5 0,-1-2 2 16,2 2-4-16,1-2 4 0,-2 4 4 0,6 2-8 0,-4 1 6 15,-3-4-1-15,1 1-1 0,3 3 6 0,-6-7-5 16,0-2 5-16,2 3-9 0,-9-5 4 0,6 5-6 15,6 5 11-15,-3 0-6 0,1-2 1 0,-2-2-2 16,-1 0 3-16,3 3-2 0,-1-3 0 0,0 2-1 16,0 1 4-16,-6-7-4 0,5 2 5 0,-5 4-3 15,3-5 10-15,-2 1-10 0,4 1 0 0,0-1-2 16,1 0 5-16,-1 0-3 0,2 3 0 0,-3-4-1 16,-2 1 3-16,-3-6-6 0,-3-3 5 0,13 10-4 15,-8-3 5-15,6 8-3 0,3 0-1 0,-15-8 2 16,8 2 7-16,6 0-9 0,-3 0 0 0,3 2-3 15,-4-1 8-15,4-1-8 0,-2 0 6 0,-1-1-6 16,3 1 3-16,-6-2 2 0,1 0 2 0,-1 1 1 0,1 0 0 16,-2-3-6-16,-1 3 0 0,-1 0-1 0,3-1 14 15,-2 2-16-15,6 0 9 0,-2 1-10 0,2-1 18 16,-5-3-10-16,1 3-1 0,3-1-3 0,-2-4-1 0,6 5 4 16,-10-4 3-16,6 5-1 0,-3 1 0 0,-3 1-2 15,9-1-4-15,-6-4 1 0,3 3 5 0,1-1-2 16,-4 0 5-16,-4-3-5 0,0-1-3 0,0 4 0 15,-1-1 1-15,4 3-1 0,4 3-9 0,-2-4 14 16,-2-1-7-16,3 2 9 0,-3-2-4 0,2 1-4 16,-1-2 7-16,-1 1-5 0,3 3 14 0,-3-1-19 15,2 5 5-15,-1-7-10 0,-1 1 13 0,1-1-13 16,1 2 1-16,3 1-6 0,-3 0 15 0,6 0 1 16,-3 0 2-16,-1 1-1 0,3-2 0 0,-4 3-6 15,4-1 5-15,2 0-4 0,-6-1 10 0,3 1-10 16,-5-3 2-16,-11-3-4 0,10 4 9 0,-4-2-4 15,-1-1 2-15,7 1-3 0,-3 1 12 0,2 0-20 0,6 8 6 16,-3-2-10-16,-1-6 14 0,0 2 1 0,-3-4-2 16,-5 0 1-16,1 1 1 0,1 0 0 0,-3 0 5 15,1 0-5-15,-1 0-13 0,-1 0 19 0,1 2-6 0,-3-4 11 16,-1 0-14-16,1 0-4 0,1 0-3 0,1 2 3 16,-2-7 7-16,-4-4-2 0,5 4-1 0,-5-2-1 15,2 7-8-15,1 1 5 0,-1-4-1 0,1 0 1 16,-1 0-5-16,1-2-1 0,0-2-5 0,1 3 3 15,-1-6 1-15,-1 10 4 0,0-4 5 0,1-2-1 16,-1 0 11-16,-2-8-1 0,6 11 1 0,-1-1-1 16,-1 0-3-16,3 2 2 0,-6-10 1 0,4 4 0 15,0-2-2-15,-5-5 6 0,7 8-2 0,-7-4 3 16,7 1-7-16,1 6 5 0,-1-4-1 0,-7 0 3 16,0 3-8-16,0 2 17 0,-2-1-11 0,4 3 12 15,-2 0-21-15,5 0 12 0,-4 2-8 0,-1-2 11 0,0-1-8 16,-4 1-2-16,7 3 3 0,-3-1-3 0,0 1 1 15,3 0-4-15,-6-3 0 0,3 3-3 0,-3-3 3 16,6 3-2-16,-6 0 2 0,3 0-2 0,0 0 9 16,-2 1-12-16,2-1 7 0,2 0-7 0,-2-1 10 0,3 1-11 15,-3 2 1-15,0 0-4 0,0 3 10 0,0 1-3 16,-5 1 3-16,3 1-2 0,-3 0 0 0,-2 2-1 16,2 0-7-16,2 3 7 0,-4 4-4 0,2-3 3 15,3 7 4-15,-3-5-1 0,-1 2 2 0,2 0-11 16,-6-3-2-16,4 5-4 0,4 1-4 0,-3 3 0 15,1 1-53-15,-4 0 28 0,0 4-47 0,1-2 61 16,5 2 30-16,-3-3-10 0,3-3-11 0,2 3 11 16,0-1-5-16,0 2 9 0,0-2 2 0,0 2 9 15,1-1-9-15,-1-2 8 0,1-3-19 0,2-1 14 16,-3-1 1-16,2-4 3 0,0 0 4 0,-2-3-6 16,0-5 4-16,-2-3-6 0,2-3-14 0,0 3 15 15,0-4-15-15,0 3 15 0,0-2-8 0,0 0-7 0,0-1 15 16,0-7-12-16,-5-5 13 0,5 2 11 0,-1-6-7 15,1 8 9-15,-1-7-7 0,0-9-7 0,-1 7-2 16,-1-13-3-16,3 5-9 0,0-1 14 0,-2-6-7 16,0-1 8-16,2 0 2 0,0 5-12 0,2 1 3 15,-2 2-8-15,2 4 3 0,-2 0 8 0,0 0-4 16,3 0 5-16,-3-4 2 0,2 9 0 0,-2-2 5 0,0-1-4 16,0 11 2-16,1-4 9 0,-1 1-5 0,1 5 8 15,-1-4 6-15,0 3-13 0,0 1 10 0,0 1-11 16,0-3 15-16,-1-3-9 0,2 5 1 0,-1 0-3 15,1 1 2-15,2 5-3 0,-3-2 4 0,0 0-3 16,0-2 13-16,2-2-16 0,-2 3 7 0,2-1-8 16,1 3 8-16,-3-3-7 0,0 3 7 0,0 1-5 15,0-1 14-15,0 1-9 0,0-2-7 0,0 2 1 16,0 2-9-16,0-1-4 0,0-1-2 0,0 1-1 16,0 1 3-16,0 5-8 0,0 9 12 0,0-4-11 0,-3 7 11 15,3-3-5-15,-4 4-1 0,0 4 1 0,2 0 10 16,-3 6-16-16,3-1-6 0,0 2-5 0,-1-1-12 15,1-2-16-15,2 2 9 0,0-3-13 16,-2-2 1-16,2 1 6 0,2-1-51 0,-2-2 22 0,2 2-122 16</inkml:trace>
  <inkml:trace contextRef="#ctx0" brushRef="#br0" timeOffset="1">7746 706 205 0,'-2'0'-129'15,"-1"0"54"-15,2 0 75 0,-1 0 0 0,2-1 0 16,2 1 0-16,-2 0 1 0,2 0-1 0,-2 0 0 0,6-1 0 15,-6 1-1-15,-2 0 3 0,0 0 22 0,-7-2 7 16,14 2 6-16,-4 0-6 0,0 0-26 0,1 2-2 16,-8-4-13-16,1 1 10 0,5 0-6 0,2 1-6 15,4 1 8-15,-1 0-8 0,-5-1 3 0,0 0 32 16,0 2-3-16,-2 0 15 0,4-2 16 0,-2 1 17 16,2-1 9-16,-2 0 0 0,-2-1-1 0,2 1-3 15,0 0-2-15,0 0 1 0,-4-2-4 0,2 0-16 16,0 1 0-16,2 0-5 0,2 1-5 0,-4 0-5 15,-3-1-10-15,5 1 7 0,-2-1 0 0,4 2-7 16,-2-1 11-16,0 0-10 0,0 1 6 0,0 0-7 16,0 2 2-16,5-1-2 0,-3 1 5 0,-9-1-8 0,7 0 6 15,-5 2-8-15,-2-2-3 0,10 4 4 16,-9 0-10-16,1 0 10 0,5 1-3 0,-2 2-11 0,0-2 7 16,-1 2-10-16,-1 0-5 0,-3 0 4 0,-2 2-5 15,9 6 5-15,0 0-2 0,3 3-3 0,6 1 2 16,-12-4-2-16,-1 0-4 0,2 3-2 0,-5 0 5 15,11 1-2-15,-4-3 17 0,0-1-13 0,0 0-1 16,0-1-5-16,5 5-5 0,-5-4 10 0,-2-4-3 0,-3-1 4 16,10 6-1-16,-5-5 0 0,6 6-1 0,-5-6 0 15,-6-4-3-15,5 2-4 0,8-2 0 0,-8-2-2 16,0-1 10-16,-1 0-3 0,-8-4 8 0,9 2-6 16,0-3 3-16,2 1-7 0,-2-2-1 0,4 1-1 15,-4-1 10-15,-2 0-1 0,0-2 4 0,0-3-6 16,2 2-15-16,-5-4 13 0,5-1-12 0,0-3 13 15,-5-2-9-15,5 0 3 0,0 0 5 0,0-1-4 16,0 0-6-16,-2-6 8 0,-4-2-2 0,4 1 5 16,-1 0-2-16,3 1 1 0,0-2 0 0,3 4 0 0,-1-8-6 15,-1 1-2-15,4 4-4 0,-5-5 2 0,-2 7 4 16,4-1 13-16,-2 0-5 0,5 5 5 0,-1-1-19 16,-1 3 14-16,1-1 0 0,-4 2 5 0,9 3-5 15,-2-1 6-15,-7 3 0 0,0 0 2 0,0 1 0 0,-3 3 3 16,1-1-2-16,2 4 3 0,-9-2 4 0,9 2-2 15,0 0 1-15,-2 0-3 0,5 0-14 0,-6 2 0 16,1 3-1-16,0 1 1 0,6 1 14 0,-4 0-11 16,-4 1 5-16,1 0-7 0,-6 2-13 0,5 0 20 15,2 2-7-15,3 2 11 0,4 0-4 0,-3 3-6 16,1 4 5-16,4 0-5 0,-5 1 1 0,-2-1 3 16,5-1-11-16,-6 0 8 0,-1 6 6 0,5 0-5 15,-4 3 6-15,8 1-8 0,-7-7-2 0,0 4 0 16,2-3 4-16,-4-2-2 0,6 4 5 0,-4-5-8 15,0 0 7-15,0-1-6 0,0 0 7 0,0-3-5 16,0-1-1-16,0-1 0 0,3-3-5 0,-3 0 8 16,2 1-2-16,-2-6 6 0,2 1 1 0,-2-3-2 0,0-5-3 15,3 1 2-15,-1-1-5 0,-2 0 1 0,-2-3 3 16,-1 1 0-16,1 1 10 0,2-5-16 0,0 1 2 16,-2-5-6-16,-1-3 9 0,-10-2-2 0,4-2 5 15,9 1-4-15,-7-1 10 0,7-2-4 0,-6-3 0 0,-10-6 0 16,11 0 0-16,2 1-9 0,-2-1 3 0,3-1-5 15,-8 0 1-15,4 3 6 0,-3 1-1 0,4 1 4 16,-5-6-4-16,3 1-2 0,0 3 0 0,5 3 0 16,2 3 2-16,-3-1-2 0,2 1 0 0,1 2 0 15,-2 2 9-15,6 4-8 0,0-1 7 0,-4 1-7 16,0 2-1-16,-6-2 6 0,7 4-6 0,-2-1 8 16,2 1-4-16,4 6 1 0,-3-3 0 0,3 4 0 15,-3 0-2-15,-6-3 4 0,-6 3-4 0,8 0 5 16,2 1-1-16,5 1-8 0,-3-1 3 0,0 0-6 15,-2 0 3-15,-2 0-9 0,2 4 2 0,7 1-3 0,-5 1 10 16,5 3-2-16,1-1 2 0,-3 2-2 0,-7 1 3 16,-1 1 0-16,6 3 3 0,1 3-1 0,6 0 12 15,0 7-18-15,-7-1 11 0,1 3-10 0,-1 1 19 0,-1 0-4 16,1 0-9-16,4 4 6 0,-7-6 0 0,3 2-8 16,-3 0 9-16,-3-4-9 0,8 1-1 0,-5-1 6 15,2-1 0-15,1-1 5 0,5 0-4 0,-3-2 0 16,-8-3-5-16,3-1 5 0,-6-2 5 0,6-1-8 15,4-2 2-15,-4 0-5 0,5-2 2 0,-1 0-7 16,1-2 7-16,1-3-5 0,1 5 7 0,-5-6-7 16,-2 0 1-16,0-1-3 0,-9-4-2 0,9 2 6 15,0 1-3-15,0-1 4 0,7 1 4 0,-7-2-3 16,0 1 7-16,2-7-5 0,-2 0 6 0,0-4-5 16,0-3-6-16,3-1 2 0,-6-3 5 0,1-3-8 15,2-1 2-15,-6-5-4 0,6 1 5 0,0-2-3 16,6-4 2-16,-6-1-5 0,0 0 0 0,0 1-2 15,-5-3 5-15,5 5-4 0,3-1 6 0,-3-1 0 0,-3 5-6 16,6-1 6-16,-3 0 5 0,-3 3-10 0,3 4 10 16,-4 0-11-16,4 2 8 0,0 1 0 0,-2 2-2 15,4 2 2-15,-4 0-1 0,0 3 5 0,0 3-3 16,-1-1 2-16,3 5-5 0,3 2 8 0,-1 1 2 16,0 1-1-16,-2 0-15 0,2 0 17 0,-1 0-15 0,-1 0 17 15,0 1-6-15,-1 0-7 0,-1 4 10 0,0 2-10 16,0 0 2-16,-1 4-4 0,1 5 4 0,2 1-4 15,0 5 2-15,2 1 2 0,-4 4-3 0,2 4 2 16,0 1 6-16,0 4-13 0,0 1 9 0,-5 4-9 16,3-1 8-16,-3 3 0 0,-3-2-3 0,6 1 1 15,-8-1 1-15,7-2-4 0,2 1 5 0,-3-5-4 16,-3-2 7-16,5-2-6 0,-3-1 1 0,1-4-2 16,8-1 8-16,-6-5-10 0,2-2-10 0,-1 1 1 15,2-1-21-15,-1-9-33 0,0-1-19 0,0-5-8 0,-6-2-69 16,4-1-153-16,-5-5 193 0</inkml:trace>
  <inkml:trace contextRef="#ctx0" brushRef="#br0" timeOffset="2">3597 708 294 0,'4'0'47'0,"6"-1"39"0,-8-2 12 0,4-1-30 16,-1-1-35-16,-8 0-18 0,8 1-13 0,0-1 6 15,-3 2 8-15,3-1-16 0,-8 0 10 0,8 2-12 16,-5-4 11-16,0 4 33 0,0 0-4 0,-1 1 14 16,-10-6 7-16,1 2-25 0,5 3 11 0,-7-1-17 15,4 1-10-15,8 4 11 0,-9-2-12 0,7 1 14 16,-3 3-14-16,-1-3-14 0,-1 1 2 0,-2 3-5 15,4-3-2-15,2 3 3 0,0-3-1 0,-4 1 3 16,-2-1 3-16,1 1 5 0,5 0 7 0,1-1-3 0,0 1 10 16,-3-1 4-16,3 0-2 0,2 2 5 0,0 1 12 15,-3-2-25-15,2 3 17 0,1 1-18 0,1 0 12 16,2 1-21-16,-1 1-6 0,-2-1-1 0,5 4 0 16,-3 1 3-16,0 1 2 0,3-1-1 0,-3 2 1 15,7 1-4-15,-2 3 2 0,0 2-1 0,-4 0 4 0,2 2 0 16,-1-2 1-16,-1 2 1 0,-8-10 4 0,7 8 0 15,1 4 4-15,-1-4-3 0,5 11-4 0,1-9 2 16,-3-4-4-16,0 1 3 0,0-2-9 0,-6-1 12 16,1 2-4-16,0-1 7 0,3 2-7 0,-13-4-1 15,6 4 3-15,-5 0 0 0,11-1 4 0,5 0-4 16,2 1-13-16,-1-5 8 0,-6 1 6 0,5 0-3 16,-7-7 9-16,0-1-9 0,-2 3-2 0,9-4-5 15,-3 1-2-15,12 4 0 0,-11-10 4 0,-4 4-6 16,2-1 2-16,-4-4-4 0,2 3 2 0,-5-4-16 15,-1-4-4-15,5 1-6 0,-2 1-30 0,2 2-22 16,2 0-22-16,-4 2 0 0,2-7-70 0,-7 0-206 16,1 0 233-16</inkml:trace>
  <inkml:trace contextRef="#ctx0" brushRef="#br0" timeOffset="3">-83 771 205 0,'0'1'-129'0,"0"-1"60"0,0 0 70 0,0 0 7 0,0 0-9 15,0 0 21-15,2 0 20 0,1 1-4 0,1-1 29 16,1-1 7-16,1-2-15 0,-1 1 12 0,2-1-21 16,1 0-9-16,1 0 5 0,-2 0-7 0,-2 1-11 15,-2 0 20-15,2-1-20 0,-3 1 19 0,-2 2-14 0,0 0-2 16,0 0 17-16,3-2-14 0,-1 0-6 0,-2 2 9 15,0 0-11-15,0 0 12 0,-2 0-9 0,2 0-2 16,0 0-2-16,0 0 0 0,0 0-16 0,0 0 2 16,0 0-6-16,0 0 7 0,0 0 2 0,-3 0-4 15,3 0 10-15,-2-1-8 0,4 1 7 0,-2 0-8 16,0 0-3-16,0 0 2 0,0 0 9 0,0 0-19 16,-2 0 9-16,0 0-12 0,-2 0 4 0,4 1 1 15,4 2-5-15,-2-1 4 0,0 2 1 0,-2-2 0 16,3 1 0-16,-3 2 0 0,-3 0-17 0,3 1 20 15,0-2-10-15,3 2 12 0,-3 0-5 0,0 1 3 16,0 0 0-16,-3 2-3 0,3 1-16 0,0-1 14 0,-2 3-6 16,2 1 9-16,0 1 6 0,-2 5-5 15,2 0 7-15,0 1-9 0,-6-3-6 0,3-6 6 16,3 8-5-16,-2 1 8 0,2 2 5 0,2 3-11 0,-4-5 5 16,0-3-7-16,2 0 1 0,0-1 4 0,0 0-7 15,0 0 7-15,0-1 2 0,0 2-4 0,0-3 7 16,2 0-7-16,-2-2-8 0,0 1 12 0,5 1-10 15,-4-1 11-15,-2-1-3 0,1-1 0 0,0 2 2 0,0-4-1 16,1 4-7-16,1-3 18 0,-2-2-13 0,0 0 13 16,3-2-20-16,-1 3 5 0,0 0 3 0,1-5 0 15,-1 5-1-15,0-4 10 0,1 1-6 0,-1-1 7 16,-2 0-11-16,0-3 12 0,2 5 3 0,-1-2 2 16,1-3-6-16,1 4 4 0,-1-6-8 0,-2 0 7 15,3 4-5-15,-3-4-4 0,-3 2 3 0,8 1-4 16,-3 1 5-16,-2-2 6 0,0-1-4 0,5 1 4 15,-10-2-11-15,3 1-3 0,2 0 1 0,0-1-4 16,2 4-18-16,-2-1 11 0,-2-6-20 0,2 3 17 0,-2 0-23 16,-3-5-36-16,5 7-27 0,0-1-5 0,-2-3-69 15</inkml:trace>
  <inkml:trace contextRef="#ctx0" brushRef="#br0" timeOffset="4">4039 2759 8 0,'-10'-1'2'0,"3"1"-3"0,-1-1 4 16,3 1-3-16,0 0-4 0,1 0 21 0,-1 0-9 15,3-2 16-15,-4-1-2 0,3 2-7 0,3 1 38 0,0 0-23 16,-4-3 48-16,4 1-15 0,0-1-13 0,0 1 9 16,0-1-8-16,0 2-3 0,0 1 1 0,2-1-1 15,-2 0-15-15,2 0 7 0,-2 1-6 0,0-3 9 16,0 2-9-16,0 1-5 0,0-2 5 0,0 2-4 15,3 0-10-15,-3 0 22 0,1 0-14 0,0 0 20 16,0 2-2-16,2 2-10 0,-3-3 7 0,0 2-9 16,4 0-13-16,-1 0 9 0,1 1-10 0,-4-2 10 15,0 1-14-15,-2 1-7 0,-5 0 5 0,7 0-6 16,2 3-1-16,-2 0 10 0,3 2-6 0,-6-1 8 0,-4 1-13 16,6 4-4-16,-1-1 0 0,10 4 1 0,-8 1 5 15,-5-3-11-15,3 6 3 0,-9-3-6 0,7 2 6 16,4 6-4-16,0-2 1 0,0 1-2 0,-3 4-11 0,3-4 20 15,0-4-15-15,-3-8 16 0,-1 3-8 0,1-3-9 16,1 6 9-16,-1 2-10 0,1-6 3 0,2-3 8 16,-2-4 2-16,2 1 2 0,0-1-2 0,0-2-6 15,0 1-4-15,0-5 3 0,0-2-5 0,0 1 1 16,0 0-9-16,0-2 8 0,2-2 8 0,0-4-2 16,1-2 12-16,-1 1-10 0,1-1-1 0,1-4 9 15,2 2-7-15,-2 0 9 0,3-4 3 0,-3-1 7 16,1-2-1-16,-3 0 0 0,3-2-24 0,-1 3 15 15,3 0-6-15,-1-4 10 0,3 8 0 0,-4-5-10 16,3 3 3-16,-1 0-6 0,0-1 1 0,-3 4 2 16,1 0-1-16,4 4 3 0,-1 2 8 0,1 1-2 15,-6 1 7-15,-1 2-6 0,0-1-4 0,5 2 5 16,-4-2-6-16,3 3 6 0,-4-1 0 0,5 2-5 0,1-1 3 16,-3 1-5-16,4 0 0 0,-2-2-7 0,1 2 5 15,-5 0-4-15,1 0 7 0,-4 0-4 0,0 3 1 16,3-1-1-16,1 2 7 0,-4-1-10 0,1 3 0 15,-1 1-2-15,-1 1 0 0,2 2 1 0,-2 3 0 16,2-2-1-16,-2 6-9 0,-3-3 23 0,1 1-18 0,-1 3 18 16,1-4-21-16,6 6 4 0,-8-6 7 0,5 0-5 15,-11-1 6-15,9 2-2 0,-3-2-9 0,-3 0 5 16,12-3-10-16,-12-5-7 0,12 14 6 0,-3-11-9 16,-5 3 1-16,4-5 4 0,-1-6-4 0,3 8 4 15,4-4-3-15,-4-2 7 0,-2-2 8 0,5-2-3 16,-1 4 1-16,1-1 0 0,6 0-12 0,-4-1 10 15,3-1-7-15,6-4 4 0,-7-2-1 0,0 0-1 16,-2-6-23-16,6 5 6 0,-1-1-6 0,-2-8 8 16,8 8 14-16,-7-9 7 0,-3 2 12 0,9 3-7 15,-7-7 9-15,2 7 8 0,3 0-4 0,-8-2 7 16,-1 0 0-16,3 3 6 0,-4 1 8 0,2 4-4 0,-4 0 4 16,2-1 9-16,-3 2-6 0,1 1 10 0,-3 5 9 15,0 0-3-15,0 0 6 0,0 0-7 0,-5-2-19 16,2 3-5-16,-4-1-12 0,4 3 8 0,-4 0-9 0,3 2-6 15,0 2 4-15,-1-1-6 0,3-3-4 0,-3 3-1 16,1-1-14-16,1 2 10 0,-1 2 7 0,0 0-9 16,0 2 18-16,1-1-16 0,-1 3 13 0,4-2-8 15,-7-5-2-15,5 9-2 0,2-4 1 0,0 3 9 16,6 1 0-16,-6-11 2 0,0 5-15 0,3-2 4 16,1 2-4-16,1 1 5 0,0 0 3 0,-3-8 9 15,4 9-12-15,1-3 7 0,0-7-22 0,1 6 18 16,-1-7 6-16,0 0 0 0,1 0 1 0,1 2 5 15,3-2-3-15,-4-1 4 0,2-2-14 0,-2-1 12 16,-1-1-10-16,0 2 8 0,3-2-15 0,-3-7 13 16,3 2 1-16,0 0 4 0,-3 2-9 0,-2-1 1 0,-2 1 1 15,0-2 0-15,-1-2 2 0,5 8 11 16,-5-4-2-16,1-2 4 0,-3 4-6 0,-3-4 6 0,1 3-3 16,-3 0 5-16,-2-4-7 0,4 4-5 0,-4 1-1 15,-2-4 0-15,-2 2 11 0,2 3-11 0,-2-2 7 16,4 3-9-16,0-1 10 0,-3 1 3 0,0 0-4 15,-2 2 3-15,0-2-13 0,-1 3 6 0,-1 1-3 16,3 0 3-16,0 2-5 0,0 1 2 0,2-1-1 0,2 5 1 16,1-3-4-16,4 0 1 0,-5-4-3 0,4-1 1 15,3 1 0-15,-2 0 1 0,4 3 5 0,-2-1-5 16,0 3-4-16,0-5 6 0,3 4-7 0,1-3 7 16,-1-1 0-16,4 3-4 0,1 0 5 0,-1-3-8 15,3 5-10-15,0-5 14 0,0 1-7 0,4 3 11 16,-1-2-4-16,-1 0-8 0,1-2 4 0,-4-2-7 15,2 3 4-15,-2-4 1 0,1 2-4 0,4-1 3 16,-1-6 6-16,1 2-1 0,1-2 2 0,1 0-2 16,-2 2 11-16,3 1-14 0,-5-4 6 0,-2 3-8 0,2-1 11 15,-4 0 5-15,6 0-10 0,-7 0 6 0,1 1-19 16,2 1 17-16,-4 3-2 0,-2 0 7 0,-1-2 0 16,-3 4 10-16,-5-2-9 0,7 1 6 0,-2 2-16 15,3-1 8-15,-3 0 1 0,0 0 1 0,-3 0-1 0,1 1-6 16,-4 1 5-16,1 2-6 0,8-1 7 0,-6 2-4 15,6 2 2-15,-1 1-2 0,-4 0-1 0,5 4-5 16,-4-2 3-16,-4-1-3 0,5 3 0 0,-4-2 3 16,1 1-7-16,3 1 6 0,-2 2 1 0,0-1-3 15,11 8 1-15,-9-6-4 0,0-3-6 0,5 5 8 16,-10-10-6-16,5 4 8 0,2 2 0 0,-4-9-11 16,4 6 10-16,-2-4-10 0,0 1 10 0,3 0-2 15,-6-6-4-15,3 2 1 0,0-3-10 0,3-2 5 16,-3 2-8-16,-7-2 7 0,7 0-3 0,-3-2-1 15,3 1 16-15,7-6-10 0,-9-7 13 0,7 4-5 16,8 4-1-16,-6-3 0 0,3 8 5 0,-3-10-1 16,-9-8-3-16,6 6 2 0,7-1 8 0,-10 0-7 15,12 1 10-15,-13-3-9 0,-5-1 8 0,15 9-12 0,-10 0 2 16,8 7-2-16,-4-3 17 0,-4 0-2 0,3 4 6 16,1-3-5-16,1 5-2 0,-5 0-2 0,1-1-4 15,-1 1 3-15,-1 0 4 0,1-3-6 0,0 5-1 16,2 0-1-16,4 1 8 0,-6 1-13 0,5-1 8 15,-3 3-10-15,-2-1 3 0,-4 0-7 0,4 5 1 0,-5-6-2 16,7 4 10-16,1 5-4 0,4 5 1 0,-5-5-2 16,-2-2 2-16,5 2-4 0,-10-3 2 0,5 1-2 15,0-2 3-15,0 3-8 0,5-3-1 0,-3 1-2 16,2 7-2-16,-4-9-19 0,0 0-10 0,2-2-1 16,0 3-21-16,-2 0-11 0,5 0-18 0,-5 0 1 15,0-7-48-15,2 6-117 0,-2-8 162 0</inkml:trace>
  <inkml:trace contextRef="#ctx0" brushRef="#br0" timeOffset="5">4912 2979 698 0,'2'-1'122'0,"0"1"-74"16,4 0-31-16,-1 1 10 0,2-1 14 0,3-2-6 16,-3 1 7-16,3-2-6 0,0 1 9 0,3 4 28 15,-1-2-19-15,3 3 21 0,1 0-33 0,-8-4-28 16,2 0 2-16,-3-3-13 0,-4 2-8 0,7 1-30 16,-3-2-36-16,-5 0 1 0,6-1-115 0</inkml:trace>
  <inkml:trace contextRef="#ctx0" brushRef="#br0" timeOffset="6">5325 2818 329 0,'-7'-3'45'0,"7"1"210"0,-2 1 25 0,2 1-155 16,2-2-130-16,0 2 0 0,3-1 1 0,-3 1-1 15,-2 0-2-15,4 1 2 0,-4-1 5 0,0 1 0 16,2 3 33-16,-2-2 11 0,5 3 18 0,-5 0-9 15,0 1 7-15,0 1-10 0,0 2-15 0,-2-1 6 16,-1 1-35-16,1 2-7 0,1 2-1 0,-2-3-2 0,1 4 1 16,0-1-9-16,-1 1 0 0,3 2 1 0,-4-1 18 15,-1-1-15-15,2-5 4 0,3 6-11 0,-3-11-2 16,3 3 12-16,0 5-3 0,0-7 7 0,0 4 1 16,0-8-6-16,0 6 3 0,3 0-5 0,-1-2-5 0,1-4 6 15,-3-3-8-15,-2-5 9 0,2 6 6 0,-1-4-4 16,4 3 12-16,2-4-10 0,0-4-2 0,-1-4 11 15,2 3-6-15,1-1 12 0,0-2 4 0,0 2-8 16,1-4 8-16,4 1-7 0,-1 3 11 0,-2-4 4 16,4 1-3-16,-4 1 4 0,2-5 3 0,-4 4-13 15,2 3 3-15,-2 1-5 0,-1 2 10 0,1 2-6 16,0 0 4-16,-1 3-5 0,-2 1-3 0,3 1-5 16,-4 0 2-16,4 2 0 0,1 2 16 0,-3 0-7 15,-3 3 0-15,3-2-3 0,-5 2-4 0,0 1-10 16,5 3-3-16,-2 1-2 0,4 0 1 0,0 3-7 15,-7 1 6-15,0 1-7 0,0 2 7 0,0-1 2 0,-5-3 0 16,7 4 0-16,-2-6-2 0,0 4-4 0,4 1-7 16,1-5 4-16,-5 3 1 0,0-7-13 0,0 2 9 15,0-3-13-15,0-3-5 0,0-1-1 0,0-2 5 16,0 0-4-16,0 0-3 0,0 0 1 0,2-4-9 16,-2-2 9-16,0 2-3 0,5 0 12 0,-3-3-2 15,5-2 7-15,3-2 8 0,-10-7 4 0,7 3 7 16,-7 0-2-16,5-2 8 0,3 4 6 0,-1-1 2 15,6 3 2-15,-3-3 5 0,-3 1 1 0,1-1-5 0,-1 3 3 16,-5 3-17-16,5 1 15 0,-7 1-6 0,0 2 12 16,5 2 10-16,-3 0-14 0,-2 2 14 0,1 0-15 15,2 0 9-15,-3 0-27 0,0 1 8 0,2 0-11 16,-2 1 14-16,5 2-19 0,2 0-10 0,-10 2 0 16,3 1-12-16,-2 2 12 0,0 1 2 0,2 1 3 15,0 1 6-15,0 0 0 0,-3-1 3 0,3 1-4 16,3 0-14-16,-6-3 10 0,10 3-9 0,-2-1 12 15,-3 4 2-15,9-6 3 0,-11-1-6 0,7 0 2 0,-5-3-12 16,4 0-6-16,6-1 1 0,-8-2-3 0,7-1 12 16,-4 2-14-16,6-5 21 0,-2 0-20 0,4-1 20 15,-3-3 7-15,6-1-7 0,2-1 9 0,-1-1 9 16,1-1 3-16,-3 0 8 0,-5-2-5 0,4 1-1 16,0-4-3-16,-1 2-3 0,0 1 3 0,2-3 2 0,-7-1-4 15,4 2 3-15,-1 1-2 0,-1-1 8 0,1-2-11 16,-4 1 3-16,-3-1-5 0,3 0 4 0,-4-1-7 15,-1-2 3-15,0-1-5 0,1-2 1 0,-1 1-2 16,-4-1-1-16,-2 2 0 0,4 0 6 0,-2 3-9 16,-4 5 10-16,1-3-10 0,-3 3 0 0,2 3 12 15,8-2-8-15,-2 6 12 0,0 4-6 0,0-1 2 16,-12 2 0-16,3 1 1 0,-3 0-11 0,2-1-2 16,1 5 0-16,3 6 1 0,-2-2 3 0,1 9 2 15,0-7-7-15,-5-1 4 0,3 5-7 0,0 1 5 16,2 8 2-16,-2 1-1 0,1-4-8 0,2 3 5 15,-1-5 0-15,3 5 0 0,-7-1-7 0,5 1-2 16,1 3-10-16,-4 3 6 0,2 0-6 0,0 2-13 0,0 3 7 16,1-5-10-16,-1 5 9 0,1-1-4 0,0 4-11 15,-1-5 3-15,3-1-18 0,-3-2-6 0,0-2 17 16,1 2-13-16,-2-2 33 0,4-3 27 0,-1-3-5 16,3-1 10-16,-2-6-4 0,4-1-39 0,3-1 0 15,0-4-15-15,3-2-15 0,-1-3 32 0,-3-3 2 16,3-3 11-16,4-3 25 0,1-3 1 0,3-4 6 15,-2 1-4-15,4-5-4 0,-5 0 16 0,3-2 2 0,-1-3 10 16,-3-1 26-16,-2 1 2 0,-2-4 18 0,-5-1-10 16,4 2 17-16,-6-8 2 0,5 4-20 0,-1 4 14 15,-4-4-44-15,-2 8 1 0,-5 5 3 0,1-3 0 16,2 6 4-16,-1 1 2 0,0 2-6 0,1 2 6 16,-7-1 0-16,2 5-6 0,-2-7 5 0,0 7-7 15,1 0-11-15,0 1-13 0,3 2-1 0,-4 0-2 16,-1 0-2-16,4 1 0 0,-3-1-5 0,4 1 3 15,1 0-2-15,-1 2 0 0,0-3-9 0,1 2 6 16,1 5 8-16,1 0-6 0,4 7 12 0,-3-7-13 0,3 5-3 16,3-2 6-16,-1-3-4 0,4 7 5 0,3-1-2 15,-2-4-1-15,4 2 3 0,3-2-4 0,-2-3-6 16,5 4-1-16,-2-1-3 0,5-2 2 0,-6 0-16 0,3-5-24 16,6 3-20-16,-6-5-2 0,5-1-61 15,-8-9-125-15,7 2 157 0</inkml:trace>
  <inkml:trace contextRef="#ctx0" brushRef="#br0" timeOffset="7">6474 2932 725 0,'2'0'133'0,"-2"-2"-128"16,0-1-4-16,0-4-30 0,-2-1 13 0,2 1 3 15,-2-2-7-15,-3-2 7 0,4 4 13 0,-1 0 23 16,-3 1 26-16,0 3-7 0,1-1 36 0,-1 1 8 0,-1 0-7 16,1 2 9-16,1 0-17 0,-1 0-18 0,-3 1-7 15,-1 0-2-15,-1 2-24 0,0 2 4 0,0-1-2 16,0 3 3-16,-2 1-17 0,2 2-9 0,0 4-5 16,0-2-1-16,1-3-16 0,-3 3 19 0,1-4-10 15,9 1 14-15,-3 6-3 0,1-7-10 0,2 4 7 16,2-4-7-16,3 0 13 0,5 4-18 0,1-6-2 15,-3 0-4-15,4-4 1 0,-3-3-5 0,0-2-1 0,3 1-2 16,1 0-4-16,-2-1 18 0,0-1 1 0,2-3 5 16,-2-2 16-16,-1 4 3 0,2-1 5 0,-3 1-4 15,-3 1-3-15,-1 1 14 0,0-2 0 0,-1 2 7 16,1 0 3-16,-3 0 1 0,0 4-8 0,0 0 5 16,0-1-18-16,0 0 2 0,0 1-7 0,0 0 6 15,2 1-2-15,-2-1-9 0,0 0 3 0,0 5-7 16,0-1-8-16,2 1 19 0,-2 2-12 0,3-1 11 15,-1 3-29-15,0-1-5 0,1 7-2 0,0 0 0 0,4 4-2 16,-2 2-7-16,0-3-1 0,-3-2-2 0,-1 1 11 16,1 6 2-16,-2-2 0 0,3 8-2 0,-3-8 5 15,0-1 10-15,-3 1 4 0,0-5 0 0,-2 4 1 16,1-1-2-16,-6-1-5 0,4-2-1 0,-3 2-24 0,4-3 37 16,-3-1-10-16,-3-1 18 0,-2-1 2 0,-1 0-13 15,-1-3-7-15,-1-1-9 0,0 0-68 0,-4-4-167 16,0-3 161-16</inkml:trace>
  <inkml:trace contextRef="#ctx0" brushRef="#br0" timeOffset="8">4513 3524 558 0,'-2'-3'90'0,"4"0"-3"0,3 0 15 0,-4 2-49 16,-2-5-40-16,1 6 12 0,-5 0-10 0,3-5 13 0,0 6 5 16,2-1 16-16,4 6 11 0,1 3-4 0,-4 4-6 15,-1-2 4-15,-3-3-7 0,3 5 7 0,-3-1-16 16,1 2-25-16,0-2-1 0,-1-3-7 0,3-4-7 15,-2-2 10-15,0 4-5 0,-1-2 8 0,1 0-12 0,3 1 2 16,0-4-1-16,-1-2 2 0,3 0-10 0,-1-1 16 16,-2-4-14-16,0 2 15 0,2-3-8 0,-2-3 2 15,5 2 7-15,-5 0-7 0,5 0-2 0,-3 1 10 16,-4-2-1-16,2 0 4 0,-7-6 2 0,7 4 4 16,-3 2 4-16,-5-5-1 0,1 5 6 0,-2-1-11 15,1 3 1-15,1 3-3 0,4 3 3 0,-1 2-8 16,-6-4 2-16,5 2-3 0,-2 0 7 0,-4-3 4 15,4 4-10-15,-6 3 7 0,4 0-13 0,-3 5-1 16,-1-2 2-16,4-5-5 0,1 12-4 0,-2-9-3 16,1 3 1-16,3 8-3 0,-3-7-9 0,4 8 2 15,-3-3-7-15,3-1 5 0,-2-2-2 0,-1 5-5 16,6-3 3-16,0 5-4 0,4 3 5 0,3-6-4 16,0 3-2-16,2-6 1 0,0-3 1 0,4 0 0 0,2 0-3 15,1-5-1-15,1 1-4 0,1-5 8 0,-1 0 4 16,3-5-2-16,-3-1-3 0,4-1 16 0,1-7-5 15,2 4 8-15,5-2-5 0,-3-3 7 0,-4-4 4 16,0 0 0-16,0-3 8 0,-3 3-1 0,6 5-3 0,-9-1 3 16,3 4 10-16,-2-1 6 0,2-1 4 0,-2 3-3 15,-5 2-4-15,-3 1 6 0,0 4 1 0,-4 1 5 16,-3-3 17-16,0 4-12 0,0 0 8 0,0 0-9 16,2 1-3-16,0 1-18 0,-4 1-3 0,0-1-3 15,-3 4-7-15,0 2-2 0,-3-6 4 0,3 5-1 16,1 2 9-16,-3 3-23 0,9 5 4 0,-8-5-10 15,4 1 9-15,-3-5-12 0,8 2 3 0,-3 6-7 16,4 0-2-16,-3-5 23 0,-1 1-16 0,7-2 18 16,-7-3-12-16,7 1-2 0,2 0 5 0,-5-7-8 0,6 6-18 15,3 0 13-15,-9-6-8 0,8 0 10 16,1 0 4-16,-3-1 2 0,4-1 6 0,-1-2-3 0,-1-4 8 16,-1-2 4-16,5-2 1 0,-1 3 2 0,0-5 7 15,1 1-8-15,0-3 7 0,-5-2-5 0,0 0 12 16,-4-2-12-16,0 3 8 0,-1 0-7 0,-2 1 23 15,-1 1 6-15,-1-1 0 0,-2 3 1 0,0 3-9 0,-2 2-10 16,-3-2-1-16,-1 3-2 0,-1 1-5 0,-2 2-5 16,1 0 2-16,-2 4-1 0,-1 1 5 0,-2 5 8 15,-5 0-11-15,-2 2 9 0,4 2-23 0,-2 0 1 16,-1 2 2-16,-4 1 0 0,4 0 0 0,-4-2-32 16,6 4-13-16,0 1-5 0,2-1-23 0,-3-2-59 15,2-1-40-15,6 0-18 0,-4-3-191 0</inkml:trace>
  <inkml:trace contextRef="#ctx0" brushRef="#br0" timeOffset="9">5340 3496 276 0,'-2'0'388'0,"2"1"-229"0,-5-1-41 0,2 0-30 15,-4 0-24-15,-5-2-27 0,2 1 6 0,-10-6-10 16,2 14 4-16,4-4 14 0,1 3-8 0,2-1 12 16,-2-3-12-16,-7 3-15 0,6 4-1 0,1 2-4 15,1-7-8-15,0 5-6 0,2 0-4 0,8 6 1 16,-9-8 0-16,9 2-6 0,-10-9 0 0,4-2-3 15,-1 7-6-15,4-1 9 0,10 5-10 0,-15-6 9 16,20 6-4-16,-8-2-3 0,5-5 6 0,8 8-7 0,-15-9 7 16,10 5-6-16,-2 1 0 0,1-5-1 0,4 5 20 15,-6-6-5-15,2 3 1 0,0 3-6 0,5-1-7 16,-6-5-3-16,-1 6 16 0,2-1-10 0,-3-2 5 16,8 8-4-16,-8-5-10 0,-4-3 8 0,3 2 7 15,-5-5-6-15,4 5 3 0,1 0-3 0,-3-2 10 16,1 1-7-16,-3-2 5 0,-3 0-5 0,1 2-3 0,-3-2 9 15,-2-2-8-15,4 4 8 0,-6-2-7 0,4 1-18 16,-2 1 17-16,-1-2-15 0,8 3 26 0,-7-1-32 16,0-1-7-16,-4 1-8 0,2-1-10 0,-4-1-35 15,4 1-25-15,4-4-7 0,-5 1-102 0</inkml:trace>
  <inkml:trace contextRef="#ctx0" brushRef="#br0" timeOffset="10">5480 3592 213 0,'-2'-13'111'15,"-3"2"10"-15,2-7-9 0,1 11 14 0,-1 0-10 16,1 3-25-16,2 2 15 0,0 0-15 0,0 4 9 0,0-4-34 16,0 3-13-16,0 0 0 0,0-7-10 0,2 6-9 15,3-2 4-15,-2-1-6 0,2 0-6 0,4-2-14 16,0-1-4-16,5 3-2 0,-2-3-1 0,2-1-7 15,-1 0 2-15,4 0-4 0,0 0-16 0,3 0 11 16,0-2-10-16,-5 2 11 0,1 2-2 0,0 0-3 16,1 2 7-16,-1 1-6 0,0 0 1 0,-4 2 6 15,-7-3-5-15,0 3 7 0,2 0 6 0,-6 0 0 16,4 4 6-16,-5-2-6 0,-3 3-6 0,2 3 16 16,1 0-6-16,0 3 10 0,-7-3-7 0,2 0-2 15,-5 2 2-15,3 0-1 0,2 0-2 0,1-1 4 16,4 3-15-16,-3-5 8 0,8 14-10 0,0-7-2 15,-5-8 8-15,2 5-7 0,-2-9-3 0,0 4 9 16,6 8-1-16,1-1 3 0,-3-4-1 0,1 4 0 0,0-5 0 16,1 4 0-16,1 2-2 0,-3-1-1 0,-1 3 0 15,-3-6-1-15,0 4-21 0,-5-2-56 0,3 3-37 16,-5 2-7-16,-2-2-126 0</inkml:trace>
  <inkml:trace contextRef="#ctx0" brushRef="#br0" timeOffset="11">5636 3254 864 0,'4'0'270'0,"-4"0"-167"0,7 1-21 15,-4 0-31-15,-10 2-15 0,2-2-22 0,-3 1 4 0,1 2-9 16,5 2-5-16,-9-1 36 0,4 2-1 15,2 1 15-15,3 0 3 0,2 1-10 0,0 1-4 0,-8-1 1 16,1 0-12-16,0 3-19 0,-6 0-5 0,6 4-3 16,2 1-5-16,-4 1-1 0,3 5 1 0,-1 0-1 15,-2 2-3-15,9 8-6 0,-1-7 8 0,-2 2-6 16,3-2 11-16,-2-5-12 0,-3-1 1 0,3 1-4 16,0 0 2-16,-3-7-30 0,5 6-5 0,0-7-6 15,-1-2 1-15,1-4-51 0,0-4 3 0,0-3-23 16,0-1-18-16,3 2-16 0,-3-3-23 0,0-3 3 15,-2-2-36-15</inkml:trace>
  <inkml:trace contextRef="#ctx0" brushRef="#br0" timeOffset="12">5456 1453 396 0,'0'-5'84'0,"0"0"-41"0,0-1-9 0,0 6-7 0,0-4-21 15,0 4 3-15,0 0 0 0,0-3 4 0,0 0 23 16,0 3 11-16,0 0 22 0,0 0-9 0,0 0 10 15,0-1-4-15,-2 1-21 0,2-1 15 0,0 1-37 16,-3 1-9-16,2 5-6 0,0 0 1 0,0-3-8 0,0 1 2 16,-3-1-3-16,4 2 2 0,-2 3-1 0,-1 1 1 15,1 2 3-15,0 1-3 0,-3-6-14 0,3 10 12 16,-1 1-2-16,0-2 6 0,0-1 8 0,-1-4-14 16,-1 2 3-16,-1 1-7 0,2 5 0 0,-1 0 9 15,-2-4-4-15,2 3 6 0,1 3-2 0,0 0-5 16,-1 0-1-16,1 3-1 0,-1 1 4 0,2 4-1 15,0 2 3-15,1-2-3 0,-3 1-1 0,1 0 1 16,1-2 1-16,-1 1 0 0,-1 0-7 0,-3-5 5 16,3 3-9-16,0 3 9 0,2-4 2 0,1 2-6 15,-1-3 7-15,-1-7-7 0,-3-4-4 0,1 3-1 16,1-2-8-16,3 0 6 0,4 2 7 0,-2-5-4 16,0-3 8-16,0-2-9 0,-5-2 4 0,1-1 7 0,4-2-6 15,-3 0 6-15,8 1 5 0,-3-2 5 0,-2 0 3 16,0 0-3-16,0-4-25 0,-2-1 15 0,0-2-3 15,-1-1 10-15,3-3 14 0,0 1-1 0,-2-4-4 16,0 0 1-16,-2-2-16 0,3 2 11 0,0-1-10 16,-2 1 10-16,1-2-5 0,-3-6 0 0,5 8 3 15,-7-3-4-15,7 8-6 0,0 5 2 0,-2-6 8 0,2 4-4 16,-3-8 14-16,-2 4-13 0,3 3 3 0,-3-1-6 16,3 10 1-16,-1-6 12 0,1 3-15 0,4 7 14 15,-2-8-10-15,3 5-12 0,-3-2-4 0,-5-3-6 16,1 7-16-16,4-1 8 0,2 7 10 0,0 1-2 15,-4-3 16-15,-1 2-5 0,2-1-1 0,1 4 0 16,0 3-6-16,6 3 5 0,-4-4-3 0,-2-3 4 16,0 0 4-16,0 1 4 0,3-2 2 0,-1 2-2 15,5-2-14-15,-7-4 13 0,0 0-11 0,2 0 13 16,-2 0 16-16,0-4-25 0,5 2 18 0,-2-2-22 0,0-1 23 16,-1 0-2-16,0-1 3 0,-2-1-4 0,0-1 6 15,0 1 4-15,0-1 3 0,5 0 0 0,0 0-7 16,1 0 7-16,-2-1-3 0,1-1 7 0,-3-3-4 15,4 0-1-15,4-1-4 0,1 1 3 0,2-1-10 16,-1-1-6-16,-2-2 2 0,2 2-4 0,1-1-2 0,-2 0-5 16,2 0-3-16,0 2 0 0,-1-1-5 15,-3 1-30-15,2 1-35 0,-4-1 3 0,2 2-93 0</inkml:trace>
</inkml:ink>
</file>

<file path=xl/ink/ink23.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31"/>
    </inkml:context>
    <inkml:brush xml:id="br0">
      <inkml:brushProperty name="width" value="0.05153" units="cm"/>
      <inkml:brushProperty name="height" value="0.05153" units="cm"/>
      <inkml:brushProperty name="color" value="#ED1C24"/>
    </inkml:brush>
  </inkml:definitions>
  <inkml:trace contextRef="#ctx0" brushRef="#br0">4183 555 343 0,'7'-1'233'0,"-3"-1"-94"0,4 1-124 15,-3-2 0-15,-5 2-10 0,2 2-16 0,3 0 6 16,-5-4-10-16,0 3 5 0,0-1 33 0,0 0 1 16,-2-3 15-16,4 4 14 0,-2 0 0 0,0 0-1 15,0-2-1-15,-7-8-20 0,7 10-7 0,-5-3-12 16,-3-3 6-16,4 3-8 0,-1-4-10 0,3 2 7 0,-3 0-7 16,5 4 0-16,0-4 3 0,-8 2-1 0,1-1 3 15,-5-3 7-15,6 2-3 0,1-1 8 0,-2-1-6 16,5 2 3-16,-13-3 5 0,6 2-2 0,-4-4 4 15,-2 0-4-15,5 3-4 0,-5-3 0 0,3 3-1 16,-3 0-16-16,3-1 10 0,-3 1-10 0,0 0 12 16,-1 1-10-16,-4-2 2 0,5 1 0 0,-3-2 1 15,2 1-1-15,0 2 6 0,-1-1 5 0,3 2 0 16,-4-2 0-16,-2 0 5 0,-2 1-4 0,2 0 7 16,-2 0 3-16,1-1 1 0,-2-1 3 0,-1 0-1 15,2 0-3-15,-6 1-4 0,9 2-2 0,-9-3 1 0,4 1-6 16,6 1 2-16,-6-1-8 0,-1 1 6 0,5 1-6 15,-7-2 3-15,5 1 0 0,5 2 1 0,-2-1-2 16,-1 0 2-16,0 1 0 0,0 0 1 0,-2 0 5 16,-7-6-12-16,-4-4 4 0,4 10-6 0,0-5 1 15,6 7-4-15,8 2 6 0,-5-3-4 0,-3-2 6 0,-5-1-6 16,1 4-1-16,-4-3-1 0,1 2 0 0,6 3 2 16,-7-5 0-16,2-1 2 0,2 0 2 0,3 2 0 15,1 2-5-15,1 2 2 0,0 0-1 0,-2 0-2 16,-3-1 4-16,2-1-4 0,1-3 2 0,1-2-3 15,6 1 0-15,-5 3-1 0,4 2-6 0,-4-2 14 16,-3-1-4-16,5-2 7 0,1 5-4 0,-4-5-3 16,0 2 1-16,0 1-1 0,-2-2 1 0,-2 4-2 15,5-1-2-15,-5-1 0 0,0 0 7 0,0 2-5 16,0 1 2-16,0-1-4 0,-1-1 6 0,1 1-8 16,-6 1 9-16,-2 0-7 0,12-1 14 0,-6 1-11 15,7-1-1-15,0 1-3 0,-11 1-2 0,6-3 6 0,0 6-5 16,3-4 5-16,-3-2 2 0,2 7-4 0,-4-9 9 15,1 5-8-15,3 8-2 0,-6-5 2 0,2 3-7 16,-4 1 6-16,-1-3 0 0,0-3 4 0,4 7 1 16,0 0 0-16,1-2-8 0,5 3 5 0,-3 2 2 15,-1-6 1-15,1 1-7 0,0 1 1 0,0-3-4 16,5 1 3-16,0 4-11 0,-3-2 17 0,0 4-2 16,1 2 7-16,-2-2-8 0,0-1 1 0,-2-3-2 0,4 2 2 15,-5-2-5-15,4 3 9 0,10 3-2 0,-7-5 6 16,-1 4-8-16,1-2 2 0,-7 2-5 0,7 4 3 15,-3-3-2-15,3 0 2 0,-3 1 2 0,3 2 0 16,0 0-1-16,0 0-1 0,0 4 0 0,-5-2 0 16,2 2 6-16,-2 0-8 0,3 1 4 0,-1 2-4 15,1 0 2-15,-3-1 0 0,3-2 0 0,-3-1 1 16,9 1-3-16,-6 1 2 0,2 0-1 0,6 4 0 16,-4 1-3-16,0-6-3 0,-2 3 2 0,2-1-1 15,-2-4 6-15,5 4-5 0,2-1 3 0,0 1-2 16,-4-3 6-16,4 1-4 0,0 1 2 0,1-2-2 0,1 0-2 15,-2 1 4-15,1-1-9 0,-1 1 9 0,3 1-6 16,-1-3 3-16,4-2 6 0,3 2-3 0,-1-1 8 16,2 6-11-16,-7-4-1 0,4-1-2 0,-1 2 12 0,-4-3-6 15,6 2 3-15,0 0-5 0,4-1-10 0,-4 1 16 16,4 0-2-16,-7-1 7 0,-2 1-5 0,10-1-4 16,-11 2-3-16,8 2-1 0,0-3-7 0,1 2 11 15,4 0-8-15,0 2 8 0,2 4-4 0,-2-4 4 16,0-3 3-16,-2 0-2 0,-1-5-3 0,-1 5 2 15,0 2-2-15,2 0 2 0,0-1-5 0,2-1 4 16,-7 0 0-16,7 0 2 0,2 1 8 0,-2-2-17 16,0 1 7-16,-2-2-10 0,-7-1 16 0,7 1-7 15,-3-2 2-15,8 4-3 0,-6-2-2 0,3 6 8 16,-2-3-1-16,0 2 5 0,2-3 2 0,2 4 0 16,0-2-10-16,-9-8 5 0,7 10-15 0,-4-4 7 15,6 3 1-15,7 3 1 0,-9-4 1 0,3 0-3 0,-6-6 5 16,1 3-4-16,4-1 1 0,3-2 4 0,3 1-9 15,-3 0 7-15,0 1-3 0,-1-1-3 0,-1-2 6 16,7 1-7-16,-5-3-5 0,2 3 6 0,-5-3 7 16,4 0 0-16,1 3 11 0,-2-3-12 0,3 3-4 15,-1-2 0-15,2-2 9 0,2 5-6 0,-4-1 1 16,2-2-5-16,-1 2 5 0,2-4 0 0,0 4 1 16,2 5-1-16,-3-7-3 0,6 5-2 0,1-3-1 0,1-4 1 15,2 6-1-15,-2-3-1 0,-1-4-1 0,0 1-1 16,1-1-13-16,1 1 22 0,0 0-3 0,-2-1 9 15,1 1-12-15,3 1 7 0,5-2-4 0,-3 0 5 16,0 1-11-16,3-1 13 0,-8-2-9 0,6 3 11 16,1 0-4-16,-2-2-2 0,5 3 3 0,-5-4-5 15,3 1-10-15,0-1 17 0,1-1-8 0,3 0 11 16,-4-1-1-16,1 0-10 0,-4-1 7 0,-1-3-8 16,5 8 7-16,-4-4-9 0,-2-1 8 0,5 1-7 15,-2-5 12-15,3 5-7 0,1 2 0 0,-3 0-2 16,1-2 5-16,2 1 1 0,-3-5 1 0,1 2 2 0,3-1 15 15,3-2-15-15,6 6 3 0,-5-3-8 0,0 0 2 16,-5 0-4-16,-3-3 6 0,-2 2-6 0,3-1 1 16,2 5-1-16,-1-6 0 0,3-1 2 0,-5-2 15 15,1 3-14-15,2-3 2 0,0 1-4 0,1 1 5 0,3-2-5 16,6 4 1-16,-5-7-1 0,0 2 6 0,-2 1-3 16,-3-4 6-16,0 4-5 0,0-3-3 0,0 0 8 15,2 3-10-15,-7-3 9 0,5 1-9 0,-2 0 1 16,-4-4 2-16,1 4-1 0,-1-4-9 0,4 3 7 15,-2 1-4-15,1 1 6 0,3 1 5 0,0-2-9 16,2-2 2-16,-4-3-6 0,0 5 8 0,-3-3-1 16,0 4 2-16,3 0-2 0,-1-3 3 0,1 3-7 15,-5-5 3-15,4 2-2 0,3 0 6 0,1 4-4 16,1-2 2-16,-4 2-2 0,-9-7 4 0,2-4-4 16,-5 7 4-16,4-2-3 0,3 2 2 0,1 0 0 15,9 0-5-15,-5-2 3 0,2 6 2 0,0 0-7 0,-3-1 4 16,-4-4-3-16,2 3 9 0,1-3-6 0,-4 2 0 15,-1 2-1-15,1-5-1 0,1 0 0 0,-1 1 2 16,4 0-1-16,4-1 3 0,-5 0-2 0,-7-1 0 16,7-1 0-16,-8 1 1 0,1 0-1 0,15 1-6 15,-13 0 4-15,3 1 3 0,5-1-2 0,-8 1 4 0,5-2-4 16,1-3-3-16,3 2 7 0,6-1-5 16,-5 1 5-16,1-2-5 0,-7 1 2 0,1 0-1 0,-2-2 1 15,0 2 1-15,0-2-2 0,2 2 1 0,-2 0 0 16,-1-1-1-16,2 1 6 0,-3 0-4 0,0-1 3 15,-6 1-12-15,0 1 13 0,11 0 0 16,-6 1 6-16,1-2-4 0,3 1-4 0,-13-3 0 0,7 1 1 16,2 2 4-16,-2 0-1 0,0 0-1 0,-1 0 2 15,-4-3 3-15,-2-8-7 0,6 5 6 0,-4-1-7 16,4 1 5-16,4 11-5 0,-6-7-4 0,-2 0 1 16,3 3 6-16,-2-3 0 0,-4-5 9 0,6 11-10 0,-6-10-4 15,1-2 11-15,2 7-5 0,-6-12 8 0,5 7-8 16,0-1-10-16,-1 1 4 0,6-2-4 0,-7-1 7 15,4 2-2-15,-2-2 0 0,-7 0 1 0,7 0 0 0,-7-2-3 16,7 2 0-16,-4-2 0 0,3 3 10 0,2-2-8 16,-8-1 3-16,6 1-5 0,-3-4 5 0,-3-3-3 15,3 6 0-15,2-2-2 0,-10 0-4 0,9 1 5 16,-1-10-7-16,2 8 6 0,1-5-1 0,-6 3 0 16,6 1 7-16,-8-2-5 0,4 3 9 0,1-2-11 15,-5 1 4-15,0 0-6 0,5 0 3 0,-3 1 3 16,6 0-3-16,1 2 1 0,-9-1-11 0,5-1 5 15,-1-4 3-15,-4 3 2 0,2-7 7 0,-2 4-11 16,7 7-2-16,-7-3-2 0,9 5 8 0,2-4-4 16,-11-4 2-16,0-1-5 0,2 2 7 0,-2 2-3 15,0-4-3-15,5 6 0 0,1-1 16 0,-2-1-11 16,-1 1 13-16,-3 1-13 0,0-1 2 0,4 4-2 16,-4-2 0-16,0 4 1 0,3-2 4 0,-6 0-8 15,3 2 0-15,0-3-3 0,0 1 8 0,0 4 0 0,-2-3 3 16,0 0-2-16,-3 2 0 0,5-1 5 0,-2 2-3 15,-2-2 4-15,2 1-1 0,-1-2-3 0,-4-2 2 16,7 2-3-16,-4-3-2 0,-2 1-1 0,6 0-6 16,0 1 4-16,-5-2 6 0,5-1-15 0,-2 1 15 15,-5 2-13-15,7 3 22 0,2-1-13 0,-2 2 1 0,-2-2-2 16,4 2 21-16,-6 0-23 0,6 3 5 0,-2-1-10 16,-8 1 15-16,8-4-6 0,-7 3 10 0,7 4-9 15,2-2 9-15,-7 1-2 0,5-4-1 0,-4 3 1 16,-2 3-3-16,1-4 4 0,1 3-3 0,-1-3 3 15,-2-1-3-15,7 7-5 0,-6-6 4 0,4 2-5 16,-1-1-1-16,-4-5-3 0,-2 1-8 0,5 3 4 16,-3-8-18-16,-4 0-24 0,3 0-18 0,-8-7-2 15,5 3-58-15,-5-4-125 0,-3-2 154 0</inkml:trace>
</inkml:ink>
</file>

<file path=xl/ink/ink24.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32"/>
    </inkml:context>
    <inkml:brush xml:id="br0">
      <inkml:brushProperty name="width" value="0.05153" units="cm"/>
      <inkml:brushProperty name="height" value="0.05153" units="cm"/>
      <inkml:brushProperty name="color" value="#ED1C24"/>
    </inkml:brush>
  </inkml:definitions>
  <inkml:trace contextRef="#ctx0" brushRef="#br0">586 1669 6 0,'-19'-13'1'0,"10"8"80"16,5 0-6-16,4 5 27 0,-2-4-27 0,0 4-24 16,-1 0-6-16,1-1-2 0,2 1-6 0,0 1 16 15,0-1 5-15,0 3 5 0,0-3 4 0,-7-7-2 16,2 8 0-16,-4-3-1 0,2 2-14 0,6 2-2 15,-1-2-9-15,-1 0 8 0,-2 0-14 0,5 2 5 0,-2-2-16 16,0 0 11-16,2 0-24 0,-2 0 12 0,-6-2 4 16,5 0-1-16,-1-5-8 0,1 2 0 0,3 4 5 15,-2-10-3-15,2 8 1 0,0-3 1 0,0 1-1 16,2 1 2-16,-2-3-5 0,3 3-6 0,1-5 0 16,-4 1 1-16,6 4 0 0,-1-4-18 0,-3 6 12 15,10 2-10-15,-2-1 27 0,-6 1-16 0,3-8-2 0,-1 4-3 16,0 5-8-16,1-2 12 0,1 3-5 0,-3-2 7 15,2-4-4-15,2 5-5 0,1 1-1 0,-3-1-2 16,-7 4-2-16,12 1 10 0,-9-2-6 0,4 6 7 16,5-1-8-16,-12-3-1 0,5 0 8 0,-10-4-5 15,10 5 1-15,-1 1 1 0,1 1-2 0,5 2 2 16,-12-5 0-16,2 2-3 0,-2-1 0 0,4 6-2 16,0 1-4-16,-4-5 9 0,6 6-5 0,-8-4 7 15,-1-2 2-15,4 2-7 0,-3 0 3 0,4 1-6 16,0-1-13-16,-3 2 17 0,1 0-10 0,0 1 11 0,-7-4-6 15,-4 2-1-15,8 0 5 0,-7-1-5 16,3 2-9-16,4 0 3 0,-3-4-18 0,1 3 11 0,7 0-21 16,-10-2-22-16,-1-2 0 0,4-5-14 0,-3 1-18 15,7 2-31-15,1-3-47 0,2 4 6 0,0-3-104 16</inkml:trace>
  <inkml:trace contextRef="#ctx0" brushRef="#br0" timeOffset="1">723 2185 191 0,'-26'-6'30'0,"22"6"-5"15,2 3 8-15,12 2-20 0,-5-2-15 0,-5-2 10 16,5 1-13-16,-15-6 13 0,10 3-5 0,0 1 30 0,0-1 24 15,3 2-5-15,-3 0 23 0,4 0 14 0,-6-3-26 16,2 1 23-16,2 0-39 0,-9-5-13 0,7 2 1 16,0 1-6-16,3 1-15 0,6 0 9 0,-9 0-16 15,-9-7 14-15,11 2-18 0,-4 2 2 0,-1 0 10 16,13 8-6-16,-17-7 6 0,7 3 11 0,-3-1-5 0,3 2 8 16,3 2 4-16,-6-3-2 0,3 3-1 0,-2 1-2 15,-6-1-12-15,1-1 3 0,0-1-6 0,-3 1 5 16,10 3 7-16,-2 4-13 0,-5-2 11 0,3 1-14 15,-9-4 4-15,-2-2-6 0,13 9-4 0,-3-5 0 16,8 5-3-16,-3-3-4 0,-3-4 4 0,10 2-4 16,-7 0 2-16,0-1 1 0,0 0 1 0,-4-2 0 15,4-1-3-15,5 2 1 0,-6-2-2 0,1-1 2 16,2 2-3-16,2-1 6 0,12 2-2 0,-14-3 3 16,2 1-1-16,-4-1-5 0,2-1-7 0,0-1-2 15,3 1-38-15,2-1-27 0,-10-2-43 0,8 1 7 0,0-1-116 16</inkml:trace>
</inkml:ink>
</file>

<file path=xl/ink/ink25.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34"/>
    </inkml:context>
    <inkml:brush xml:id="br0">
      <inkml:brushProperty name="width" value="0.05153" units="cm"/>
      <inkml:brushProperty name="height" value="0.05153" units="cm"/>
      <inkml:brushProperty name="color" value="#ED1C24"/>
    </inkml:brush>
  </inkml:definitions>
  <inkml:trace contextRef="#ctx0" brushRef="#br0">985 2796 132 0,'-9'-2'19'0,"9"2"155"0,0 0 6 16,3 0-33-16,-2 0-90 0,0 0-11 0,-1-1-25 15,0-1 15-15,-2-2-27 0,-1-2-13 0,1 0 10 16,0 1-11-16,-3-3 4 0,0 5 16 0,1-2-1 15,0 3 10-15,-1-3 15 0,1 1-14 0,1 1 12 0,-4 1-12 16,2 3 8-16,-3 0 0 0,1 3-10 0,-1-1 8 16,-1 3-14-16,-1 1 14 0,-2 1 0 0,2 3 4 15,0-1-18-15,0 3 5 0,2 0-9 0,1 0 9 16,-5-1-8-16,-1 0-14 0,3-1-2 0,0 2-5 16,6 0 2-16,1 0-5 0,1-2-2 0,2 5-2 15,0-7 1-15,0 1-17 0,2 0 6 0,3-7-13 16,-3 4-16-16,4-2 3 0,4-2-20 0,1-2 13 15,2 4-14-15,-1-5 0 0,-1-3 19 0,0 1-14 16,2-11 23-16,2 4 22 0,2-2-9 0,-4-1 13 16,-1 3 5-16,-4-1 6 0,1 0 8 0,1 1-2 0,0-1 8 15,-3 3 34-15,-2-2-3 0,-2 2 14 0,2 0 5 16,-3 1-16-16,3 1 9 0,-5 0-10 0,0 1 0 16,0 0 5-16,-2 2-7 0,2 0 7 0,0-1-9 0,-3 2-9 15,1 1 4-15,-4 0-5 0,1 1-9 0,3 4-17 16,0 1-5-16,-3 1 0 0,-2 0 5 0,4 1 9 15,-2 2 2-15,0 1-1 0,3 2-8 0,-3 1 2 16,-1 0-6-16,4 3 3 0,-3-1 1 0,3 6-10 16,-1 3 6-16,3-4-9 0,-2 1 1 0,2 0 1 15,0-4-7-15,0 5 5 0,0 2-3 0,0-1-4 16,0 3 0-16,2 2-3 0,1-1-12 0,-1 0 18 16,1-1-9-16,-1-2 11 0,-2-3 1 0,0-3-2 15,0 0 3-15,0-1-8 0,0 0-29 0,0 1 19 16,0-2-12-16,0-4 16 0,1 2 4 0,-1-3 0 15,-1-7 8-15,-1 2-7 0,-1 2 6 0,1-5 3 16,-1 3-16-16,1-4 12 0,0-5 0 0,-1 1 6 0,-1 0 18 16,0-1-10-16,-3 0 8 0,-2 1 0 0,-2-3 3 15,2-1 2-15,-2-5 19 0,2-3-2 0,-3-4-5 16,2 1 0-16,-10 0-26 0,2 2 4 0,-7-1-2 16,6-3 6-16,7 5 13 0,-1-1-14 0,13 3 5 15,-10-2-10-15,8 0-10 0,-8 1 29 0,3 0-4 0,-1 2 14 16,6-1-6-16,-3 1 3 0,7 0 1 0,1 0 1 15,-1 0-6-15,13 1-20 0,-12 1 6 0,6-3-8 16,1-1 19-16,0-2-13 0,5 2-7 0,7 2 0 16,-2-3-20-16,-3 0 28 0,3 4-11 0,-8-7 14 15,6 4-21-15,2-1 5 0,0-7 1 0,2 5 0 16,-2-2-10-16,-3 2 16 0,2 6-12 0,1-4 15 16,-5 0 1-16,8 4 1 0,-5-4 13 0,2 2-11 15,3 2 4-15,-10-4-13 0,3 5-2 0,-1-4 0 16,0 3 6-16,2-1-3 0,-2 0 6 0,-4-1-5 0,-2 2-2 15,-1 1 15-15,-1-2 2 0,-4 1 6 0,1-1 17 16,3 2-5-16,2 0 7 0,-5 1-6 0,-6 1-12 16,2 1 17-16,-5 1-14 0,5 1 17 0,-1 0-15 15,-6-1-10-15,0 3 1 0,0 0-4 0,-4 1-6 16,4 0-5-16,-3 2-7 0,-2 1 2 0,10 1 4 0,-6 1-7 16,0 0 10-16,-3 1-11 0,-9 0 6 0,7-1-22 15,1 1 16-15,2 0-15 0,7 0 32 0,-4 1-18 16,3 0-3-16,-2 0-4 0,-1 1-6 0,0 0 12 15,1 4-6-15,5 0 7 0,1 1-4 0,-4 1-13 16,4 1 3-16,-2 0-5 0,2 1 14 0,2 2 6 16,-2-5 5-16,4 2-1 0,0-2 3 0,1-4-8 15,7 7 4-15,-4-5-4 0,1-2 9 0,-2 1-3 16,6-4 1-16,-10-2-1 0,6 0 3 0,11-6-10 16,-7 0 3-16,14-3-7 0,-5 0-3 0,-2 0-2 15,7-1-11-15,0-8 8 0,-5 1-4 0,1-5 10 16,-6 1 4-16,8 4 0 0,-5-5 0 0,2 1 8 15,0-1-3-15,-3-1 5 0,1 2 4 0,-2-3-3 0,2-1 5 16,0 1-6-16,-1-1-7 0,4-1 10 0,-1 1-8 16,-8-1 11-16,-1 0-1 0,1 0-13 0,-6-2 15 15,4 3-12-15,3-2 17 0,-12-2-7 0,1 7 1 16,-1-3-1-16,0 1 3 0,2 4-10 0,-7-7 8 16,4 7-4-16,-4 3 23 0,4 3-7 0,0 2 7 15,-4-3-3-15,2 3 17 0,-8-1-7 0,3 3-3 0,7 6 2 16,-2-3 2-16,-2 3-22 0,0-3 2 0,-3 0-7 15,0 5 6-15,3 0-17 0,0 1 9 0,0-3-9 16,0 3 17-16,6 0-17 0,-2 2-3 0,-3 0-2 16,-2-3 12-16,1 6-4 0,-3-2 1 0,5 8-4 15,-7-3-4-15,0-4-3 0,4 7 11 0,-2-1-7 16,5 9 6-16,2 3-2 0,-2-2-10 0,-4 1 6 16,-1-3-3-16,-4 3-2 0,3 0-1 0,1-1 0 15,3 2 4-15,-3-3-7 0,-3-1 5 0,8-1-5 16,-7 0 10-16,4-1-20 0,1 1 25 0,-4-5-21 15,10 2 34-15,-2-3-12 0,3-2-4 0,-1-1 0 16,-4-1-11-16,0-3 24 0,3-2-14 0,2 0 16 0,0-2-9 16,2 2-7-16,4 1 5 0,1 1-7 0,-8-5-6 15,7 0 0-15,-4-4-8 0,0 1 5 0,8 1 4 16,-8-1-25-16,-2 0-4 0,3-4-11 0,-1 0-26 16,0 1 1-16,4-3-8 0,-4-2 4 0,-5 0 3 0,5-3-26 15,2 3-32-15,-2-3-2 0,-3-1-92 0</inkml:trace>
  <inkml:trace contextRef="#ctx0" brushRef="#br0" timeOffset="1">1555 2665 237 0,'-12'-2'353'0,"-1"0"-152"16,4-6-60-16,1 5 2 0,1-2-80 0,2 4-27 15,0 1 0-15,4 0-8 0,-1 0-7 0,3 0-4 16,1 1 7-16,3 2 0 0,2-1 34 0,2-1 8 15,4-1 8-15,0 0-4 0,7 1-16 0,-4 2-22 0,2-1-13 16,0 0 2-16,-2 0-17 0,2-6 3 0,4 5-7 16,-4-7 4-16,2 4-13 0,-4-3-45 0,4-1-33 15,9 8-6-15,-3-2-118 0,1-2-155 0,-5 0 217 16</inkml:trace>
  <inkml:trace contextRef="#ctx0" brushRef="#br0" timeOffset="2">1718 1655 784 0,'-5'-1'47'0,"1"-3"-21"15,-1 0-14-15,3-1 6 0,-2-1-6 0,4 2-3 16,2 1 19-16,-2-2-11 0,0-1 36 0,0-2 21 15,-4-2 4-15,4 8 7 0,-3-5 4 0,6 0-26 16,-3 2-4-16,0-2-5 0,4 3-22 0,-2 2-5 16,2-1-11-16,1-4 6 0,0 6-14 0,-1 0-3 15,0-1 0-15,-1 4-2 0,3-2-8 0,1 0 5 16,6 3 0-16,-1-3 3 0,1 2-1 0,-1-1-3 16,-4-2-1-16,1 1 0 0,-2-2 8 0,1 2-6 0,-1 2 1 15,-2-1-4-15,2 3-1 0,-3 1-1 0,0-1-1 16,1-1-1-16,-3 1-7 0,1-5 4 0,-3 3-10 15,2 5 8-15,-2-2 8 0,0 4-13 0,0-3 17 16,-2 2-16-16,-1-2 14 0,1 6-9 0,-3-4 0 16,-1-1-2-16,4 6 0 0,-3-3-2 0,1 3 5 15,-3 0-4-15,-2-4 7 0,-2 1 5 0,3 0-5 16,-4 2 6-16,5-1-8 0,-4 2-10 0,-3-2-1 0,4 0-4 16,-6-1-16-16,9 1-9 0,3-1-15 0,-14 2 5 15,13-2-33-15,1-1-74 0,-7 1-36 0,19 0-27 16,-8-1 231-16</inkml:trace>
  <inkml:trace contextRef="#ctx0" brushRef="#br0" timeOffset="3">1155 1626 697 0,'-5'-3'64'0,"0"0"-12"0,5 5-35 15,0-4 22-15,-10-5-32 0,10 4-5 0,-7 1 8 16,-4-1-7-16,11 0 15 0,-7 0 26 0,0-2 10 15,7 6 3-15,-7-1 16 0,1 1-21 0,4 0 5 16,-5-1-10-16,7 0-12 0,0 0-1 0,-11-1-15 16,7-5 12-16,4 6-11 0,-3-3-2 0,3 3 5 15,0 1-6-15,-2-8-14 0,0 4 13 0,2 0-7 16,0 2 11-16,-3-5-2 0,10 5-11 0,-4-4 2 0,-1-2-7 16,9 4-9-16,-9-1 15 0,7 1-8 0,2 3 12 15,-6 0-6-15,2 0-6 0,5 0 7 0,-5 7-7 16,1-7 5-16,4 2-5 0,-12-3-3 0,3-4 1 15,1 6 6-15,-4 4-6 0,9 4 2 0,-2 2-4 16,-5-3 5-16,7 3-8 0,-6-3 4 0,3 3-6 16,-2-1 9-16,1-3-2 0,0 4 2 0,-2-3-2 15,2 0 1-15,-3 1 1 0,-2 2-5 0,0-4 3 16,0 1-6-16,0-2-2 0,0 2-2 0,0 4 0 16,0 0 7-16,-2 1-37 0,-4-3-1 0,-3 1-16 15,2-1-13-15,1 1-21 0,3-1-17 0,-1 0-5 0,-1-2-62 16,-4-1-47-16,3-1 127 0</inkml:trace>
  <inkml:trace contextRef="#ctx0" brushRef="#br0" timeOffset="4">1780 2208 2 0,'7'-2'0'0,"-4"3"1"15,-1-1-1-15,0 0 2 0,1 0 2 0,-3-2 5 16,1 0 20-16,1 0-9 0,-2-1 23 0,5 1 3 16,-3-1-15-16,0-3 15 0,1 2-7 0,-1 1-3 15,-2-3 9-15,2 4-6 0,0-5 2 0,0 3 3 16,3 3-5-16,-5-1 6 0,2 3 1 0,0-2 8 15,-2-2 6-15,3 5 0 0,-3-2 8 0,0 1 10 16,-3 1-2-16,1-1 6 0,0 3-6 0,-1-1-10 16,-3-2 1-16,2 5-4 0,-8-3-12 0,10 6 1 15,-4 0-8-15,1-2 6 0,0 4-12 0,-4-4-15 0,1 0-4 16,-6-1-3-16,8 1-13 0,4 0-1 0,-3-1-14 16,3-3 8-16,-1 1-11 0,-2-3-8 0,2 0 7 15,9 2-11-15,-4-3-5 0,1 0-10 0,4-2-14 16,-5-2 2-16,-2-2-22 0,0-2-41 0,5-2-29 15,5 1-16-15,-3-3-156 0</inkml:trace>
  <inkml:trace contextRef="#ctx0" brushRef="#br0" timeOffset="5">1167 2187 470 0,'-8'-4'77'0,"14"8"-51"16,1 2 5-16,3 0-12 0,-8-6-29 0,0-1 10 15,1-1-28-15,3 2 23 0,-4 2-20 0,0-5 13 16,1 0 21-16,-3-4-9 0,7 1 29 0,-3 2 36 0,-2-2-25 16,0 1 28-16,5 0-16 0,-5-2-8 15,5 1 12-15,-7 0-15 0,-2 0-11 0,7 5-9 0,-5-2-4 16,8 5 1-16,-8-2 10 0,0 0-3 0,-2-2 15 15,-5-2-13-15,5 3-5 0,-7-4-1 0,2 5-3 16,5 3 5-16,-2 2 5 0,-1 2 4 0,-2-4-4 16,3 1 6-16,-5-1-12 0,7 3-13 0,2 1-9 15,-2-3 5-15,-3 3 5 0,0-3-17 0,3 1 2 0,-3-3-13 16,8-2-23-16,-4 3-34 0,-1-3-42 0,2 0 5 16,4 4-100-16,2-4-90 0,-4-1 180 0</inkml:trace>
</inkml:ink>
</file>

<file path=xl/ink/ink26.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40"/>
    </inkml:context>
    <inkml:brush xml:id="br0">
      <inkml:brushProperty name="width" value="0.29444" units="cm"/>
      <inkml:brushProperty name="height" value="0.58889" units="cm"/>
      <inkml:brushProperty name="color" value="#00FFFF"/>
      <inkml:brushProperty name="tip" value="rectangle"/>
      <inkml:brushProperty name="rasterOp" value="maskPen"/>
    </inkml:brush>
  </inkml:definitions>
  <inkml:trace contextRef="#ctx0" brushRef="#br0">141 81 288 0,'2'2'21'0,"3"-1"16"16,-3-2-3-16,-2-3-7 0,0 3-9 0,0 1 3 16,3 3-8-16,1 0-15 0,0-4 18 0,-4 1-16 0,0 0 19 15,-4 0 22-15,3 4-15 0,-2-9 17 0,-4 5-17 16,4-1 8-16,3-1 1 0,-2-1 2 0,-3-2-16 16,4 0 3-16,-1 2-16 0,-1-1 11 0,-1 0-14 15,1 1-2-15,1 3 6 0,-3-3-6 0,10 1 0 16,-7 0-3-16,2-1 2 0,-5-2 1 0,-1 2 27 0,6 3-2 15,0-1-2-15,-2-4-3 0,-1 2-26 16,-4-2 28-16,5 2-4 0,0 0 14 0,-3 1 0 0,4 1-6 16,-2 0 3-16,3 1-6 0,0 0-12 0,0-2-1 15,-7-1-9-15,3 2 7 0,1-1 1 0,3 2-9 16,0 0 11-16,0 0-11 0,-3 0 10 0,2-1 7 16,2 1-1-16,-1 0 5 0,1 0 2 0,-1 0-15 15,2-1 12-15,1 1-11 0,-6 0 22 0,1 1-16 16,-1 0 5-16,3-1-7 0,-3 0 2 0,7 0 6 15,-3 0-7-15,-3 0 7 0,3-1-9 0,-1 1-9 16,-3 0 0-16,8 0-1 0,-10 0 7 0,5 0 3 16,-3 0-2-16,0 0 1 0,1 3-9 0,-7-3 6 15,11 1 3-15,-2 1-1 0,0-1-2 0,5 3-7 16,-8-1-1-16,-1 1 0 0,-1 1 4 0,2 1-7 16,6 0 0-16,-3 0-2 0,0 2 4 0,-3 1-3 15,-5 1 0-15,6-1-2 0,-3 4-1 0,5-1 5 16,0 0 3-16,0 2 1 0,-2-9-5 0,1 2 0 0,1 2-2 15,-2 1 2-15,-1 3-5 0,7-1 12 0,0-2-7 16,-4 3 9-16,3 2-12 0,-8-2 0 0,-3 3 4 16,8 2 0-16,0-3 8 0,-2 3-10 0,2 1-1 15,-3-3-2-15,-1 0 6 0,1-2 0 0,6 2 1 16,-3-3-3-16,2 3-6 0,-2 0 7 0,-2-1-3 16,-1 2 5-16,8-3 0 0,-5 3-4 0,2-3 4 0,1 0-5 15,-6 0-8-15,3-3 13 0,5 3-3 0,-5-4 7 16,2 4 1-16,2 0-9 0,-4-5 0 0,-1 4-2 15,1-5 7-15,3 3-7 0,-3 2 2 0,9 2-5 16,-4-2 11-16,3-5-7 0,-1 0 3 0,-4 3-3 16,9-3 14-16,-11 0-12 0,0-2 5 0,5 1-7 15,-6 4 7-15,2 1-6 0,5-1 1 0,-2-2-4 16,-5 1 7-16,1-3-3 0,1 7-3 0,-2-2-1 16,3-3 9-16,-1 5-5 0,0-3 2 0,-2 1-4 15,5 0 2-15,-3-2-1 0,1 1 11 0,0 0-9 16,-3 1 4-16,-1-1-7 0,1 0-1 0,0 2 0 15,-2 0 7-15,2-1-4 0,0 1-1 0,0 0 0 0,2-1 5 16,0 0-4-16,-2 2 0 0,4-2-1 0,-2 2 8 16,1 0-10-16,1-2 5 0,-4 0-6 0,5 1 7 15,-3 0 2-15,1 0-2 0,0-2 1 0,-3-5-2 16,3 1-4-16,-3 5 1 0,0 3-3 0,2 0 10 0,-2-2-6 16,0-3 7-16,-8 0-7 0,5 2 5 0,3 3-3 15,3 1 2-15,3-1-1 0,-6 2-3 0,0-4 6 16,0 0-8-16,-3-6 9 0,3 3-5 0,-1 2-8 15,0-3 6-15,0 2-7 0,-2-1 13 0,1 0-7 16,0 0 5-16,4 1-5 0,-4-1 5 0,-3-1-2 16,5 1 2-16,0-2-2 0,0 0-1 0,0 0-1 15,-5 2 1-15,1-1 1 0,2 1 8 0,1 1-6 16,-2-1-3-16,3-2 1 0,0 2 0 0,-7-3-3 16,7 1 4-16,-3-1-4 0,-5-1-2 0,8 6 3 15,0-5-3-15,0 3 4 0,-2 0-1 0,2-2 1 16,-10-1-1-16,10 3 2 0,0 0 3 0,-9-7-6 15,14 9 3-15,-5-2-3 0,0-1 1 0,2 7-2 0,-4-8 0 16,2-1-1-16,2 1 8 0,-7-7-7 0,5 11 3 16,-2-3-3-16,-1-1 11 0,11 5-9 0,-8-5 2 15,0-3-2-15,0-4 7 0,0 12-7 0,4-6 1 16,-4 5-4-16,-2-2 2 0,2-5 1 0,-7 0 0 16,5 1 0-16,3 2 0 0,0 3-5 0,4 0 7 15,-1-2-4-15,-4-2 6 0,-2-2-3 0,2 1-1 0,-7-1 1 16,9 2-2-16,-2-4 5 0,0 2 0 0,-2 1 5 15,0 0-7-15,1 1-5 0,-2 0 3 0,7 0-2 16,-2-1 7-16,0-1-5 0,3 1 0 0,-7-1 0 16,-1 0 3-16,1 1-3 0,2-1 1 0,2 1-1 15,-2 0-1-15,-4 0 3 0,1-1-2 0,0 1 4 16,0-1 0-16,11 1-3 0,-11 0 4 0,1-1-4 16,-1 0-3-16,-6 0 6 0,14 3-7 0,-5 0 7 15,0-1-2-15,4 1-1 0,-8-3 4 0,-1 1-3 16,3 0 1-16,2 0-3 0,7 0 0 0,-3-1 0 0,1 2-1 15,-4-1 1-15,-7 0-2 0,6 2 2 0,-2-1 0 16,2 1-3-16,2 6 4 0,-2-8-2 0,3 2 4 16,-1-3 0-16,-1-3-2 0,-1 1 1 0,-3 4-2 15,-4-6-1-15,-4 2 2 0,7 3-1 0,6 0 9 16,-1 3-9-16,8-4 0 0,-6 0-1 0,1 5 8 16,-6-7-5-16,-3-1 9 0,8-1-10 0,-6-4 2 0,6 4-1 15,-1 6-3-15,-2 0 1 0,0-1 8 0,2 1-11 16,-2-2 5-16,0 0-6 0,-7-5 3 0,12 3 2 15,-7 1 3-15,2-1-1 0,4 6 2 0,-11-6-9 16,7-3 4-16,-8 4-4 0,8-1 7 0,-1 0-3 16,3 2-2-16,1-3 0 0,-3-9 3 0,-4 8-6 15,5 0 3-15,6-1-5 0,-4 11 2 0,1-11-10 16,-6-2-2-16,2 4-2 0,2-4 5 0,3 5 3 16,-5-3-8-16,-7-3 2 0,9 2-31 0,-9-5-45 15,10 10-39-15,11 8-4 0,-4-3-138 0</inkml:trace>
</inkml:ink>
</file>

<file path=xl/ink/ink27.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41"/>
    </inkml:context>
    <inkml:brush xml:id="br0">
      <inkml:brushProperty name="width" value="0.05153" units="cm"/>
      <inkml:brushProperty name="height" value="0.05153" units="cm"/>
      <inkml:brushProperty name="color" value="#ED1C24"/>
    </inkml:brush>
  </inkml:definitions>
  <inkml:trace contextRef="#ctx0" brushRef="#br0">-250 2522 98 0,'7'3'15'0,"-4"-8"66"0,1-1 0 0,-4-2-14 16,4 4-48-16,-3-1 0 0,-1 2-7 0,0 2 8 15,0-2 4-15,-2-3 22 0,2 8 17 0,0-7 0 16,0 4 31-16,0 4-9 0,-3-9-11 0,1 9 5 15,0-3-25-15,2 1-27 0,-3 0 8 0,3-1-13 16,-4-1 0-16,1 0 1 0,-2-5-5 0,0 2 4 16,3 8-16-16,2-4 12 0,-3 5-4 0,6-1 9 0,-3-4-4 15,0 1-5-15,0 3-3 0,-3-3 0 0,3 0-13 16,0 9 14-16,0 0-9 0,0-2 11 0,0 8-22 16,-2-6 6-16,2-2-1 0,-2 8 3 0,2-4 7 15,-3 4-10-15,1 0-3 0,2 2-1 0,-4-3 0 16,6 0 0-16,0 0 2 0,-2-3-2 0,2 3 3 0,-2 0-9 15,0 1 1-15,3 0-6 0,-3-2-3 0,0 0 9 16,-3 1-9-16,1-1 8 0,2 3-7 0,0-2 1 16,-2 0 13-16,-2-1-8 0,2 0 14 0,-1 0-3 15,-1-1-3-15,1 2 3 0,3-3 14 0,-4 3-15 16,1-3 4-16,2 2-10 0,-1 0-6 0,2-6 13 16,-5 4-14-16,5-5 13 0,0-2-6 0,-2 2-11 15,0-4 19-15,-1 4-17 0,-5-3 20 0,9 2 0 16,-1-3-4-16,3-5 3 0,4 5 5 0,-3 1 5 15,3 1 11-15,-1-1-7 0,-1-4 8 0,-5-1 6 16,0 1-6-16,7 1 8 0,-3 7-10 0,2-8-4 16,-1 5 2-16,0-5-2 0,-3-6-6 0,4 6 6 15,1 0-7-15,0 0 7 0,-3 1-9 0,7 4-1 16,-2-3 2-16,2 1-3 0,1-1-6 0,-4-2 4 16,3 1-7-16,-4-2 7 0,4 1-1 0,-2 0-12 15,-2-3-1-15,4 5-9 0,-2-7-27 0,2-3-23 0,-2 0-34 16,2-5 4-16,0 4-89 0</inkml:trace>
  <inkml:trace contextRef="#ctx0" brushRef="#br0" timeOffset="1">-511 2767 1014 0,'2'0'147'0,"6"0"-81"0,2-2-11 0,-4 1-15 0,3 0-27 15,0 0-2-15,-3 0-13 0,3 1 9 0,-2-1-5 16,-11-3 19-16,11 3 14 0,3 0 0 0,2 1 22 15,10 2-8-15,-7-2-11 0,-4 0 5 0,8 0-27 0,-4-1-16 16,-1-1-3-16,3 0-5 0,-4-2-1 0,-6 0-59 16,6 1-32-16,-1-4-10 0,0 1-107 0,8-2-122 15,5-1 201-15</inkml:trace>
  <inkml:trace contextRef="#ctx0" brushRef="#br0" timeOffset="2">185 2822 535 0,'0'-2'287'0,"1"0"-126"0,-3-1-32 15,1 0-13-15,1 0-53 0,-3-1-27 0,1 1-11 16,-3-2 0-16,5 0-24 0,-4 2 13 0,1-2-22 0,-2 3 17 16,2-2-20-16,-6 1 12 0,6 0 18 0,1 2-9 15,-1 1 8-15,-14-1-4 0,7 1-2 0,3 0 1 16,-6 2-1-16,8 3 5 0,3 2-14 0,-16-2 9 16,9 1-22-16,0 1 12 0,-9 0 2 0,10 2 3 15,-1 0 1-15,-1 0-10 0,4 0 4 0,-1 0-6 16,3 2-2-16,1 2 6 0,1-4-3 0,-3 2 4 15,2-1-5-15,3 3 7 0,-2 0 2 0,-1-4 1 16,1 4-14-16,2-1 11 0,0-3-15 0,2 3 15 16,-2-8 13-16,3-1-18 0,-3 2 17 0,0-1-21 0,8 6 0 15,-1-3 6-15,0-5 1 0,10 3 4 0,-12-9-4 16,3 3-3-16,4 1 1 0,-10-8-2 16,13 6 3-16,-8-8-3 0,4 3-2 0,3-1 2 0,1 8-1 15,0-7-6-15,-5-6 6 0,1 5-6 0,-8-14 8 16,2 8 2-16,7 3 1 0,-4-4 3 0,-3 2 8 15,4 1-9-15,2-1 5 0,1 4-6 0,-2 1 9 0,-10-2-11 16,2 3 0-16,1 2 0 0,-6-1 15 0,10 5-10 16,-7-2 10-16,0 2-9 0,0 1 14 0,-4 0-13 15,-1 1-2-15,0 3-3 0,0-1-4 0,5 3-3 16,-10 0 7-16,2 0-2 0,8 1 5 0,-7 0-5 16,2 0-6-16,3-1 2 0,0 2-1 0,-5 1 7 15,6 1 0-15,-2-3 3 0,-6 1-4 0,9 1-8 16,0 2 3-16,-3 1-5 0,8 0 6 0,-3 4-1 15,-2-4-7-15,0 4 4 0,5-6 4 0,-2 3 3 16,9 3 4-16,-7-1-2 0,0-3 6 0,5 8-13 16,-5-11 0-16,5 0-6 0,9 5-9 0,-8-9 13 15,3 0-14-15,-2 2 11 0,-2-5-26 0,3-4-26 16,1-2 4-16,1-3-16 0,0 1-11 0,1-8-43 0,2 6-48 16,-5-5-1-16,2-5-158 0</inkml:trace>
  <inkml:trace contextRef="#ctx0" brushRef="#br0" timeOffset="3">493 2722 885 0,'-2'0'220'0,"2"0"-125"0,-2 1-28 0,1 3-16 16,1-1-46-16,-2 4 7 0,1-2-13 0,-1 0 11 16,-3 2-10-16,-2-3 2 0,1 2 0 0,4 2 0 15,-3-1-7-15,3 4 13 0,0 1-5 0,-1 1 9 16,1-1-7-16,0 3-8 0,2 0 2 0,-4 0-5 15,4 3-2-15,0 0 8 0,-1 0-4 0,1-2 5 16,1 2 4-16,0-3-15 0,4 4 12 0,-3-4-12 0,3-1 6 16,0-5-2-16,-3-4-13 0,0 4 9 15,7 1-10-15,-7-6 3 0,0 0 5 0,-2-8-4 0,0 1-3 16,0 2 16-16,0 1 3 0,3-3 5 0,-1 3 6 16,0-4 0-16,-2-1-5 0,-2-4 4 0,0-4-11 15,2 3 9-15,0-1-2 0,-3 1 7 0,3 0 1 0,-2-5-6 16,2 3 2-16,-5-6-3 0,5 4 1 0,0 1 9 15,0-2 2-15,5 3 2 0,-3-3-6 0,3 2-2 16,-2 1-6-16,2 0 4 0,0 0-11 0,2 3 3 16,2-1 5-16,-1 2-1 0,6 2 1 0,-3 0-8 15,-2 1-1-15,2 0-1 0,-4 0 2 0,6 2 1 16,-4-1-2-16,4 2 0 0,1 1-8 0,-4 0-29 16,7-1 0-16,-12 2-11 0,2 0-18 0,9 3-22 15,-9-2-32-15,7 0 5 0,-4 0-79 0,1-1-56 16,3 1 143-16</inkml:trace>
  <inkml:trace contextRef="#ctx0" brushRef="#br0" timeOffset="4">-396 3468 799 0,'13'8'148'0,"-8"-6"-100"15,-5-2-16-15,-2 0-12 0,-5-3 1 0,7 4-15 16,4-1-7-16,-8 1 1 0,6 2 1 0,-2-1 3 16,-2-1 18-16,2 8-12 0,2 1 26 0,-15-7 17 0,13 4-10 15,-7-3 12-15,-5 0-25 0,17 11-24 0,-5 1 4 16,2 1-12-16,3 1-19 0,-3 1 24 0,1 0-13 15,-3 2 18-15,0 0-8 0,-3 1-3 0,-1-1 2 16,1-1-4-16,3 0-6 0,5-2 8 0,0 4-7 16,-5-5 9-16,-5 1 8 0,-2-4-8 0,2 0 5 15,5-4-8-15,0 1 1 0,2-3 3 0,1-3-1 16,-1-1 1-16,1 0-9 0,-8-4-2 0,7 0 0 0,1 0-2 16,-3 0-6-16,4-4 10 0,-4 0-2 0,0-6 6 15,7 0 3-15,-4-4-3 0,3 0 4 0,-4-3-5 16,-7 0-2-16,10 3 12 0,-3-1-5 0,1-3 7 15,4 0-2-15,-6-3 11 0,6 4 3 0,7-2-1 16,-11 0 2-16,-1-2 1 0,1 1-12 0,-9 2 7 16,14 1-6-16,4 2-5 0,-6-4 8 0,3 5-9 15,1-1 1-15,-2 9 9 0,-1-2-12 0,0 1 8 16,-1 0-17-16,3 0 9 0,1 5 7 0,2-3-2 16,-3 5 1-16,0 0-6 0,0 0 3 0,-1 1-4 0,4 3 6 15,-3 1-1-15,2 5-4 0,-4 0 4 0,1 1 14 16,-1 2-19-16,0-4 7 0,-2 3-12 0,-1 2 5 15,2 1-8-15,-1-1 8 0,-3 6-9 0,5-2 0 16,-5-1-1-16,2 4-13 0,1-6 9 0,-3-1 3 16,-2-2 2-16,2 1 3 0,-2-6-4 0,3 1 10 0,-3-2-4 15,0-4 6-15,0-2-6 0,0 0 0 0,0 0-12 16,0 0 6-16,2 3-7 0,-2-4 14 0,0-3-5 16,0-1 4-16,2-4-4 0,-2 1 14 0,3 0-6 15,-2-4 4-15,1 3-4 0,1-3-2 0,1-1 7 16,-4 2-1-16,5-3 5 0,-3-3 1 0,1 2 1 15,1-1-2-15,2 6 1 0,-1-1-3 0,2 2 2 16,-3-5 1-16,-1 5 1 0,3 3 25 0,-4-2-29 16,3 6 15-16,2 4-20 0,-5-4 11 0,1 4 9 15,2 0 2-15,-3-2 3 0,3 5 3 0,-5-1-17 16,2-1-5-16,3 7-2 0,1 1-10 0,-4-1 2 16,1 8 0-16,-3-9 0 0,-3 5-2 0,3 4 4 15,0-2-3-15,5 5 3 0,-7-4-2 0,4 0-4 16,0 3 2-16,-2-5-2 0,3 4 9 0,-1-1-14 15,3-2-2-15,-5 1-7 0,3 0-22 0,2-4 24 0,2 1-10 16,6-4 14-16,-4 0-6 0,-7-3-1 0,5-1 5 16,2-3-3-16,-5 1 15 0,9-3-1 0,1-1 1 15,6 0-1-15,0-3 4 0,2-1-3 0,-4-3 1 16,-2-3-4-16,1-3-12 0,1 2 17 0,-4-4-4 16,3-3 7-16,3 2-1 0,-4-3-2 0,6 0-2 0,-6 0 1 15,-1 0-7-15,0-1 18 0,-3-3-4 0,-1 1 9 16,0 0-13-16,-4-2 9 0,2 2 3 0,-5 1 4 15,1 0 6-15,-3 2-9 0,3 6-3 0,-3 1 1 16,4 1 5-16,-4 3-5 0,-2-5 11 0,0 2-8 16,-2 4 10-16,0-1-13 0,2 4 1 0,-3-1-3 15,1 0 5-15,1 4-4 0,-1-4 1 0,-1 4-2 16,3 1-8-16,0 0 6 0,0 0 2 0,-4-2 2 16,1-1-2-16,1 3-4 0,0 2-5 0,-1-1 2 15,3 6-2-15,-3 0-2 0,-2 0-2 0,3 3 0 0,-5-1 7 16,4 2-11-16,-3 5 8 0,2 1-12 0,-3 2 2 15,4 3 10-15,-4-4-2 0,3 3 4 0,0 6-7 16,2 0 0-16,-3 7-4 0,3-3 4 0,-3-3 3 16,1 0-6-16,0 0 7 0,-1 2-7 0,3-1 9 15,0-2-8-15,-1 1 1 0,1-1-5 0,0 0 3 0,-1 0 5 16,3 1-8-16,-2-5 7 0,1 1-2 0,1 0-10 16,0-5 1-16,2 0-6 0,2 2-7 0,-2-6 5 15,3-1-1-15,2 4 3 0,-1-8 10 0,3 2 8 16,-4-2 3-16,-1-6-2 0,2-3-5 0,1-1 3 15,-2 0-1-15,2 0 3 0,-1-3 7 0,-2-2-5 16,3-1 7-16,0-8-7 0,-3 2 10 0,1-4-11 16,-1-1-5-16,-1 1 0 0,1 0 8 0,-1-2 8 15,-3-6 6-15,0 0-3 0,-3-2 4 0,1-1-2 16,0 4-2-16,-3-3 1 0,0 3-6 0,-1 2 0 16,-1 1-2-16,0 2 0 0,-1 3-12 0,-1 1 13 15,-1 2 0-15,0 3 6 0,-4 3-2 0,3 1 5 16,0 3 4-16,-2 0 0 0,0-1-1 0,4 3 6 0,-4 0-8 15,6 3 8-15,2-1-2 0,-4-1-24 0,4 2 15 16,5-2-16-16,-1 0 15 0,1 1-11 0,0 0-9 16,-2-2 4-16,2 1 5 0,2 2-3 0,4 1 7 15,1 0-6-15,0 2 5 0,3 0 5 0,2 1-6 16,1 0 4-16,3-2-14 0,4 0-1 0,-2-2 1 16,1 1-3-16,-1-2-24 0,0 0-10 0,-2-2-37 0,-1-2 13 15,5-3-89-15,0-1-120 0,-2-2 168 0</inkml:trace>
  <inkml:trace contextRef="#ctx0" brushRef="#br0" timeOffset="5">870 3705 822 0,'4'2'86'16,"-1"-4"-54"-16,2-1-30 0,0-3 6 0,0-6-32 15,-3 7-19-15,3-2 5 0,-5-1-7 0,0 8 35 0,2-8 46 16,-4 6 21-16,2 1 4 0,-5 0 39 0,0 1-23 16,1-5 0-16,-4 1-8 0,1-5-27 0,0 7-14 15,-4-4-2-15,6 6 0 0,-2 1 0 0,2 3-8 16,0-2-4-16,-2 0-2 0,-2 4-18 0,-2 3 8 16,-1 3-8-16,-1-1 10 0,-2 0 1 0,1-2-5 15,1 1 10-15,4 3-9 0,1 1 8 0,1 0-8 16,5 0-3-16,-8-3-1 0,10 0 3 0,0 1-7 15,-4-1 5-15,4-2-7 0,-4-2-6 0,4-2 4 16,6-1-6-16,3 1 4 0,1-1-6 0,-2-2 7 16,-4-2-1-16,1 0 3 0,-3-5-7 0,11 2 12 15,-3-3-7-15,2-1 9 0,5 0 2 0,-2 0 5 16,-2-3 0-16,-4 2-2 0,-2-1-10 0,1 1 1 16,-1-1 6-16,0 1-4 0,4 4 9 0,-2-5-1 0,-1 5 7 15,2 3-3-15,-6-4 14 0,1 4-14 0,-3-2 0 16,1-1-2-16,0 4 26 0,0 1-20 0,-3 2 15 15,2 1-19-15,-2-4 8 0,0 5-1 0,2-2-7 16,-2 4 6-16,3 5-2 0,-3-3-14 0,0 2 8 0,2 0-11 16,-2 0 1-16,0 1-1 0,2 2-3 0,-2 0 5 15,0 0 9-15,3 1-11 0,-1 1 7 0,2 1-8 16,-4-2-3-16,-3 5-1 0,2 2-12 0,1-2 8 16,0 6-1-16,-2-6 1 0,2 2 1 0,-5 5-3 15,3-11-13-15,-1 6 14 0,-1-2-10 0,1-4 11 16,-1 7-9-16,0-4-14 0,-1-4 7 0,1 0-10 15,-3-1 15-15,2-3 11 0,2-1 1 0,-2-1 0 16,-2-5-20-16,1 1 9 0,1 0 4 0,1-3 3 16,-1 1 21-16,0-1 24 0,0-4-14 0,2 0 16 15,-1-3-14-15,-1-2 5 0,3 0 8 0,-7-4-6 16,2-6-2-16,3 2 22 0,-7 0-3 0,4-5 12 0,0 6 6 16,-6-7-20-16,9 3-2 0,4 7-7 0,0-9-18 15,4 6-17-15,0-6 7 0,0 2-8 0,3 3 13 16,0 1-23-16,2 1-20 0,-2-5 1 0,0 1-55 15,3-2-148-15,0-1 153 0</inkml:trace>
  <inkml:trace contextRef="#ctx0" brushRef="#br0" timeOffset="6">1600 3566 459 0,'-5'-3'78'16,"3"-3"178"-16,2 3-204 0,0 1-18 0,2-1-23 16,-2 0 12-16,0 3-12 0,-2-1 7 0,2 3 28 15,-3-2-14-15,3 5 44 0,0 1-14 0,-2 2-12 16,4 6 3-16,-4-8-21 0,2 7-17 0,0-3 0 0,0 1-7 16,5 2-14-16,-8-4 4 0,-4-2-4 0,7-4 5 15,0 4-2-15,3-5-7 0,1 0 4 0,-6 3-5 16,7-4 12-16,-1 2 8 0,-2-5-1 0,5 0 4 15,-5-3 11-15,-2-2-10 0,7 5 8 0,-2-4-9 16,-5-2 9-16,4 2-10 0,-5-8-1 0,3 8-2 16,1-1 18-16,-1 4-2 0,5 5-2 0,-9-3 0 15,2-4 14-15,-7-1-9 0,1-3 16 0,4 5-17 16,-5 1-6-16,-5-1 5 0,8 6-11 0,4 1 9 0,-9-5-14 16,2 2 9-16,-1 0-1 0,-11-6 2 15,16 16-12-15,-7 1-7 0,0-3 2 0,3 7-4 0,-3-6-3 16,2 2-1-16,-3 1-14 0,2 2 11 0,2 4 8 15,3-3-17-15,-1 3 18 0,0 1-20 0,0-1 7 16,2 0 1-16,3 1-3 0,0 1 2 0,0 0 4 0,0-2-1 16,3-2 0-16,2-1-1 0,0-3-2 0,2 0-9 15,-1-2-2-15,3-2-1 0,3 1 14 0,-4-4-3 16,6 1 7-16,1-2-7 0,-8-2 10 0,11-2-5 16,-3-2-5-16,1-5 2 0,2 0 4 0,-1-1-8 15,3-3 10-15,-3 0-12 0,5 0-2 0,-5-2-2 16,-1-2 8-16,1-1-3 0,2 1 21 0,-2-1-8 15,1-1 5-15,-1 5-6 0,0-4 10 0,-4 3 4 16,-1 1-5-16,-2-1 6 0,-3 0 1 0,-3 2-4 16,0 5 5-16,1 1-3 0,-3 5 14 0,-2-2 1 15,0-1 2-15,-2 3-3 0,-1 0-5 0,1 8-13 16,-2 3-2-16,2 4-2 0,-3-2 0 0,-4-3-4 16,4 3 1-16,0-2-4 0,-2 2-1 0,2 2-5 15,-1-1 0-15,5-1-2 0,0 1-3 0,1-3 7 0,0 1 1 16,1 0 2-16,1-3 0 0,3-1-3 0,2 2 4 15,0-3-3-15,1 0 9 0,1-1 7 0,1 1-10 16,0-3 9-16,-3 3 2 0,4-3-6 0,-2-1 12 16,2 1-13-16,0-5-21 0,-1-2 25 0,3-2-16 0,-6-6 23 15,3 3 7-15,4-2-29 0,4 2 15 0,-3-1-21 16,5-2 11-16,-6-3 12 0,-4-1-11 0,4 0 12 16,-11-3-3-16,5 2-3 0,-11-5 9 0,3 3-9 15,10 2 4-15,-8 0 7 0,0 0-9 0,3 1 8 16,-7-1-18-16,-8-1 6 0,6 2 4 0,-9 2 1 15,-1 5 5-15,13 5 7 0,-2 3 3 0,-6 0 0 16,-5-4-5-16,-4 4-3 0,-1 0-3 0,3 2 5 16,0 5 7-16,3-2-10 0,3 9 6 0,-2-7-7 15,-1-1-2-15,1 6-3 0,-3-10-2 0,4 9 2 0,0 3 2 16,2-5-10-16,-2 3 1 0,4-1-5 0,-2 1-1 16,1 1-1-16,3 0-8 0,0 1 4 0,3-1-7 15,2 2 8-15,2 0-6 0,1-2 6 0,4 1-1 16,-1-2-9-16,5 0 5 0,-1-2-7 0,0-1 7 15,3 0-9-15,1-2 8 0,-1 0-8 0,4-1 17 16,0-6-1-16,-2 0-1 0,2-5 0 0,2-1-4 0,-1-2 10 16,4 0-5-16,2-3 4 0,-2 1-7 0,8-1 2 15,-8-3 0-15,0-2-1 0,-2-1-12 0,-5-2 17 16,3 1-10-16,-4-2 12 0,3 0-2 0,3 2-2 16,-4 0 10-16,4 0-7 0,0 3 0 0,-5-2 10 15,-1 1-4-15,-5 2 7 0,-2 2 0 0,0 5-3 16,-4 3 9-16,-1 2-6 0,-2-6 9 0,0 8 10 15,3 0 2-15,-3-1 5 0,2 6 12 0,-2 3-23 16,-2 4-6-16,-1 1-2 0,1 1 1 0,-1 2-12 16,0 2 6-16,-1-1-9 0,1 4-9 0,-1-2 4 15,-2-2 0-15,3 6 2 0,-4-3 0 0,3-2-10 16,-1 2-2-16,0-2-2 0,4-2-5 0,-1-1 16 0,3-1-13 16,-1 1 11-16,-1-3-27 0,1-1 18 0,0-1-1 15,0 2 5-15,0-2-9 0,0-2 8 0,0-5-4 16,1 1 3-16,-5-2-19 0,4-1-23 0,-2 3 6 0,-3-4-7 15,3 0 41-15,-3-3 14 0,0 0 8 16,-2-4-2-16,4 0 0 0,-4-1 4 0,-1-4-9 0,6 0 7 16,-8-1 5-16,0-2 11 0,3 2 12 0,0 0-6 15,-11-2 4-15,14 3-4 0,-3 1-8 0,-2 0 7 16,12 2-9-16,-10 2-4 0,0 0 6 0,-1 3-7 16,1 3-7-16,7 1 31 0,-3-1-14 0,1 1 19 15,0 0-22-15,-4 2 4 0,-1-2-5 0,9 6 4 16,5 0-15-16,1 1-4 0,-1 2-5 0,-2 0 1 15,-5 0-7-15,8 0 2 0,-1 0 7 0,4 1-3 16,0-1 2-16,-6-2-5 0,8 3-5 0,1-2 5 16,-1-2 6-16,7 3 0 0,-1-5 2 0,1-2-3 0,7 3-13 15,-5-4 9-15,-3-1-6 0,1 0 8 0,-3-4 0 16,1-4-2-16,-1 1 1 0,2-2-3 0,-1-1-15 16,-1 0 14-16,3-2-2 0,2-1 7 0,5 0-3 15,-5-1 6-15,-8-1-1 0,4 0 3 0,-5-1-7 0,3-1 10 16,6 1-3-16,-14-6 7 0,4 3 0 0,1-5 1 15,-8 2 4-15,8 0-3 0,-9-7 2 0,-1 2-2 16,-3-4-1-16,2 0 1 0,0 8-11 0,5-2-3 16,-3 1-5-16,-2 6 3 0,-5-3 3 0,3 11 0 15,-2 0-1-15,-1 3 1 0,8 1 12 0,-7 0 17 16,-1 4 17-16,5 2-6 0,-9 0 4 0,7 0-12 16,-2-3-7-16,-3 3 2 0,-3-1-10 0,6 1-8 15,2 2-11-15,0 3 4 0,0 1-15 0,-3 1 11 16,-4 3 0-16,7 1 2 0,3 1 1 0,-6 1-2 15,-1-2 6-15,4 7-4 0,0-3 0 0,-5 3-4 16,5 0-3-16,-1 5 2 0,-11-2 5 0,7 1 0 16,3 4 3-16,-6-4-2 0,1 4-1 0,12 4 0 0,-8-1-4 15,3-1 1-15,5-1-1 0,-10-3-4 0,5 0 4 16,-2-1-5-16,7-2-3 0,0-3-6 0,-5-2 2 16,0 1-2-16,-5-4 10 0,2 1 0 0,8-2 4 15,-3-2-2-15,-1 1-4 0,-1-4 9 0,-1 0-15 16,7-2 13-16,-9-5-18 0,3 0-40 0,5 4 12 15,2 3-21-15,0-4 31 0,6-1 15 0,-3-3 11 0,-6-8-6 16,5 4-18-16,2-5-70 0,-3-1-55 0,4 1 3 16,3-2-128-16</inkml:trace>
  <inkml:trace contextRef="#ctx0" brushRef="#br0" timeOffset="7">2555 3566 634 0,'3'-5'149'0,"6"8"388"0,-3-3-437 16,8-1-33-16,8 8-26 0,-4-10 10 0,1 2-35 0,0-1-6 15,-4-6 1-15,7 2 0 0,-2 3 18 0,-2-1-3 16,6 1 6-16,-4 1-7 0,2 2 3 0,3-1-28 15,-5 0 0-15,1-3-13 0,-1-4-44 0,-3 3-95 16,1-1-96-16,-2-2-2 0,2-3-352 0</inkml:trace>
</inkml:ink>
</file>

<file path=xl/ink/ink28.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49"/>
    </inkml:context>
    <inkml:brush xml:id="br0">
      <inkml:brushProperty name="width" value="0.05153" units="cm"/>
      <inkml:brushProperty name="height" value="0.05153" units="cm"/>
      <inkml:brushProperty name="color" value="#ED1C24"/>
    </inkml:brush>
  </inkml:definitions>
  <inkml:trace contextRef="#ctx0" brushRef="#br0">341 8 261 0,'-2'-4'14'0,"0"2"19"0,2 2 34 0,2 0-8 15,-2-1-13-15,2 2-26 0,-2-2-5 0,0 2-1 16,3 3 0-16,-6-3 2 0,3 8 3 0,-2-1-1 15,0 0 2-15,-1 2 11 0,1-3-9 0,-3 3 12 16,3-1 6-16,1 3-19 0,-2-4 8 0,1 3-13 16,-3 0-11-16,1 1 6 0,1 4-14 0,-2 3 11 15,2 1-8-15,1 4-7 0,0 2 9 0,-3 2-8 0,0 6 12 16,-2-7-8-16,1 5 0 0,2-7-3 0,-3-3 7 16,4 11 3-16,-2-3 2 0,2 1-2 0,1-4-10 15,-1-11 19-15,-1 0-4 0,1-3 12 0,-1 3-1 16,1-4-13-16,1-5 5 0,1 1-10 0,1-5-11 0,-2-2 17 15,2 2-16-15,0-3 18 0,0 0-4 0,0 0-17 16,0 0 14-16,0-3-15 0,2-4 8 0,1-3 17 16,0-2 0-16,1-4 10 0,-1 3 10 0,1-2-17 15,4 1 0-15,0 3-5 0,-1-6-7 0,0 6 5 16,1-1-5-16,1 0 4 0,-2 1-5 0,1 6 9 16,-3-2 10-16,0 7-4 0,-1 0-10 0,0-3 7 15,1 3-16-15,-3-4 16 0,3 7-1 0,-1 0-5 16,3 0 5-16,-1 1-6 0,-6-4 0 0,7 13-3 15,-2 0-6-15,5 4 3 0,2-4-7 0,-5-6 4 16,-1-1 0-16,1-1 0 0,6 4-13 0,1-3 8 16,1 1-6-16,2-1 6 0,-14-6 1 0,8-2 2 15,2-2 5-15,-6 1-2 0,18 3-1 0,-15-5 4 16,4 0 1-16,-1-3 1 0,-8-4-6 0,5 0 5 0,-3-1-5 16,-2-5 8-16,0 1-10 0,-8-3 7 0,1-4-8 15,2 8 10-15,0 2 1 0,0-2 0 0,-10 0 9 16,3 1-6-16,-11-5-3 0,6 7 13 0,5 0-14 15,-10-3 14-15,6 3 0 0,-3-1-16 0,-3 0 11 16,-1 1-13-16,-9 1 5 0,3 0-5 0,-1 2 0 16,-2-1 0-16,10 1 3 0,-8 1 1 0,1 2 0 0,2 0-1 15,-5 1-22-15,2 1 17 0,1 1-1 0,-1 3 9 16,5-1 3-16,5 2 3 0,0 0-8 0,3 2 6 16,0-1-15-16,2 3 3 0,-4 0 0 0,-1-2 3 15,4 2-3-15,2 0-4 0,4 2 1 0,5 0-2 16,-8 0-7-16,1 1 11 0,0 1-6 0,5 2 7 15,-3-1-3-15,8 2-6 0,-1 2 1 0,0-1-2 16,5 2 8-16,3 0-11 0,-2-2 2 0,9 2-4 16,-3-3 8-16,-1-3-3 0,5 4 7 0,-2-5-6 15,6 2 2-15,5-5 9 0,3 0-8 0,2-4 8 16,2 0-6-16,-6 0 13 0,1-6-12 0,0 0 9 16,-1 0-37-16,4-2 15 0,-1-1-7 0,-1 1 9 15,-2-1-2-15,-17-2 8 0,11 0 5 0,1 1-3 0,-1-1-4 16,11 0 5-16,-11 0-4 0,1 0 3 0,-3-1 5 15,0 1 0-15,2 1 3 0,-7-2-3 0,2 2 4 16,-2 0-7-16,-2 0 3 0,-4 1-2 0,1 2 8 16,0 1-1-16,-1 2 3 0,-5 1-2 0,0-1 0 0,-1 2 19 15,-1 2-1-15,-2 0 8 0,0 0-3 0,0 0-8 16,0 0-5-16,0 0 1 0,0 0-10 0,0 2 4 16,0 1-5-16,0 4 5 0,2 1-10 0,-2 3-2 15,0 0 4-15,3 2-4 0,-6 0-4 0,3 3-13 16,0-2 17-16,-7 3-12 0,5-1 31 0,0 1-13 15,0-1-8-15,0 2 3 0,2 2 4 0,-2-1-6 16,-1 6 4-16,1-10-6 0,-3-4 4 0,5 5-2 16,-2-7-2-16,2 5 2 0,0 3 5 0,-2-10-6 15,2-2 2-15,0-1-5 0,0-2 6 0,0-2-1 16,0 4 2-16,0-3-2 0,0-1-7 0,0 3 19 16,2-3 2-16,-2-6 7 0,2 5-4 0,1-4-2 15,-1-6-6-15,0 1 6 0,3-1 3 0,1-3-19 16,1 1 2-16,0-1-8 0,-1-3 1 0,-3-1-4 0,1 4 8 15,0 2-6-15,-1 0 16 0,4 5-6 0,-3-3-1 16,2 3 0-16,-1 1 5 0,2 0-3 0,-5 0 2 16,4 0-2-16,1 1-3 0,-2 2 3 0,2 0 3 15,-4 3 1-15,2-1 6 0,-3 0-13 0,1 1 1 16,-1 0-3-16,0 3 9 0,4 3-7 0,1 0 0 0,0 2-4 16,0 1 8-16,-9-2-3 0,10 7-3 0,-8-3-1 15,9 5 4-15,-4-4-6 0,0 0 9 0,1 2-8 16,-12-3 4-16,14 7 5 0,-10-5-4 0,4 4 4 15,3-1-13-15,-5-7 11 0,-7-2-10 0,2-4 10 16,4-1-12-16,-4-3-1 0,7 4-3 0,2 2-1 16,-5-6-14-16,1 3 1 0,-3-3-7 0,1-1 6 15,7 7 28-15,-2-10-10 0,7 1 25 0,-8-3-22 16,3-2 15-16,-3 0 4 0,1-2-5 0,4-1 5 16,3 0-7-16,-6-2-6 0,2-1 4 0,1-1-3 15,0-1-2-15,6 5 6 0,-6-2-3 0,6 2 4 16,1 2-15-16,-12-3 20 0,11 3-8 0,-8 1 13 0,1 3-12 15,1 1 9-15,-5 0-7 0,5 3 9 0,-5-1 6 16,1 1-2-16,1 4 9 0,2 0-7 0,-3 0-2 16,1 2 4-16,3 2-12 0,-6 1 10 0,6 7-7 15,-4-4-7-15,-3 0 9 0,2 4-10 0,-7-3 9 0,3 7-12 16,0 1-1-16,-1-4-2 0,5 2 8 0,-2 0-8 16,3 0 5-16,-1 0-6 0,-2-3 11 0,3-4-13 15,-3 1-5-15,2 2-5 0,3 1-28 0,2 3-45 16,-1 0-25-16,-2-4-10 0,3 0-105 0</inkml:trace>
  <inkml:trace contextRef="#ctx0" brushRef="#br0" timeOffset="1">1673 94 689 0,'-5'0'329'0,"3"0"-239"0,1 0-25 0,3 0-47 16,-2 0 7-16,-1 0-28 0,0 0 3 0,1 2-12 15,-5-2-4-15,5 1 16 0,-2 1-12 0,-1 3 13 16,-2 1 2-16,3 1 18 0,-4 0 8 0,4 2-1 16,0 2 5-16,-3 2-17 0,5 0-12 0,-7 4 2 15,5 2-6-15,-1 2-4 0,2 4 8 0,1-1-8 16,-7-1-7-16,7 4-4 0,0 1-11 0,-5-2 4 15,5 1-30-15,-2-3-14 0,0-4-21 0,-2-4 0 0,2 4-70 16,0-5-64-16,-3-2 126 0</inkml:trace>
  <inkml:trace contextRef="#ctx0" brushRef="#br0" timeOffset="2">1409 267 634 0,'-10'0'99'0,"10"3"152"16,0-3-16-16,5 1-54 0,-3 0-158 0,-2-2-29 16,5 2 3-16,-1-1-12 0,7 0 9 0,1 2 6 15,1 0 3-15,4 1 0 0,-3-3-3 0,4 0-1 16,-1 0-3-16,3 0 2 0,0 2 2 0,-1-2 5 16,4-2-5-16,-2 2 2 0,-1 0-7 0,6 1-66 15,-5-1-21-15,1-3-21 0,5-2-99 0</inkml:trace>
  <inkml:trace contextRef="#ctx0" brushRef="#br0" timeOffset="3">2206 120 1307 0,'0'2'45'0,"3"-1"-45"0,1 0-1 0,-4-1-12 15,5 1 2-15,-3-1-14 0,-2 0-10 0,0 1 6 16,3-1 18-16,-3 0 12 0,0 0 21 0,-3 2-9 16,1-4 24-16,0 4-9 0,2 1-9 0,-5 2 2 15,3 4-10-15,-4 2-7 0,2 4 4 0,-1 3-5 16,0 3 1-16,-7 2-9 0,-1-3-3 0,3 7-1 16,-2-3 4-16,-3 2 4 0,3 4 5 0,-3-10-3 0,6 5 6 15,2-5-5-15,1-4-1 0,4 4 0 0,-5-5 0 16,4-2 0-16,-1 1 0 0,2-2-1 0,-5-4-3 15,7-6 0-15,0 0-5 0,-2-4 4 0,2 0 4 16,2 4-9-16,-6 1 9 0,4-3-10 0,2 0 0 16,-7-6 1-16,10-1-1 0,-10-5 3 0,5 0 15 15,10 3 0-15,-10-7 2 0,13 10-3 0,-4-7 0 0,-1 5-7 16,8-6 3-16,-5 4-4 0,-4-3 1 0,0-3 7 16,1 14 0-16,2 0 3 0,2 3 3 0,-5-3-6 15,-2-2 7-15,2 0-6 0,-1 4 17 0,1 4-7 16,2 0 1-16,-6 5-3 0,0 3 1 0,-1-5-17 15,1 5 0-15,1-2-6 0,1 1 3 0,3 7 7 16,2-1 0-16,-3-4 2 0,3-2-3 0,-1-3-9 16,4-1 2-16,-1 0-5 0,-1-6 10 0,0-4-3 15,2 0 6-15,1-5-5 0,1 1 0 0,-1-5-11 16,1-2-6-16,-2-4 0 0,2-4-5 0,-1-1 10 16,4-2 0-16,-6-1 1 0,-4 1-3 0,-1-2 9 15,-5-3-2-15,-2 1 4 0,0 2-6 0,-4-1 8 16,-1 6 0-16,5 2 3 0,-8 1 3 0,1 2 11 0,4 2 1 15,-12 2 5-15,13-1 15 0,-13-1-16 0,-2 2 10 16,2 2-11-16,-7 1 10 0,6 4-12 0,-2-1 2 16,1-1-4-16,-3-1 1 0,-3 8-5 0,1-1 4 15,5 5-5-15,-3 3-16 0,6-2 19 0,-4 1-13 16,1 3 18-16,3 0-18 0,-4 2-5 0,1 2 0 16,0-4 1-16,0 1 6 0,4 2-5 0,8 0-3 0,-2 0 0 15,-3 1 0-15,3-1-2 0,0 1 3 0,5-2-3 16,-3 2 6-16,6 0-5 0,0 0-3 0,2-1 1 15,-3-2-2-15,4 1 2 0,6-1 4 16,2-1-2-16,11 5 1 0,-4-4 5 0,-2-6-1 0,5 2 2 16,0-5 0-16,0 0-5 0,3 0-4 0,-3-2 2 15,-2-4-6-15,4 0 1 0,1-3 7 0,-5 1-5 16,4 0 1-16,-1-2 6 0,6 1 0 0,-9-4 3 16,2 1 11-16,2-1-15 0,-1 0-4 0,3 1-2 15,-3-1 10-15,-4 1-6 0,-3 0 7 0,0 1-6 0,4 1 9 16,-5 1-9-16,-3 2 3 0,-2-1-6 0,0 4 14 15,-6 1 7-15,2 0 7 0,1 0-2 0,-2 1 7 16,-5 2 0-16,2 0-2 0,-2 0 1 0,0 0-9 16,0 0-1-16,1 1-2 0,-1 0 3 0,-1 3 0 0,-1 1-15 15,-3 1 4-15,0 1-6 0,3 3 8 0,-4 1-8 16,3 1-1-16,-1 2-2 0,0 2 5 0,-1-1-5 16,-2 4-4-16,1-1-2 0,4 3 5 0,-3-1-5 15,-4 0 2-15,4 0-3 0,-3 0 11 0,-2 3-7 16,5-3 5-16,-2 1-7 0,9 0 7 0,-7-3 2 15,1-3 4-15,8 1-2 0,-13-3-11 0,7-7 8 16,2 7-11-16,-4-9 10 0,4 3-11 0,4 0 1 16,-2-3 3-16,5-1-1 0,2 3 9 0,2 1-7 15,-4-5 9-15,8 7-6 0,-1-8 20 0,4-1-4 16,4 4 1-16,-2-4-2 0,-1-5-2 0,4 5-7 16,-1 1-2-16,0-1-2 0,0 6 1 0,-1-5-21 15,-1-3-15-15,0 1-4 0,0-1-68 0,4 1-79 0,3 0-57 16,-7-1-4-16,7-6-111 0</inkml:trace>
  <inkml:trace contextRef="#ctx0" brushRef="#br0" timeOffset="4">3288-25 785 0,'0'6'511'0,"0"-3"-362"0,0 0-54 0,0-2-60 16,0-1-30-16,0 3-13 0,-2 4 3 0,2 4-5 0,-3 3 2 15,1 1-1-15,2-2 0 0,-5 2 1 0,3 2 2 16,0 3 5-16,-4 1 0 0,1 6 2 0,0 4 15 15,-2 1-10-15,2 5 2 0,-2-7-5 0,0 0-11 0,0-2 10 16,1-4-10-16,1 5 8 0,-2-9-41 0,1 3-58 16,1 1-47-16,-2-7 1 0,0-2-107 0</inkml:trace>
  <inkml:trace contextRef="#ctx0" brushRef="#br0" timeOffset="5">3016 183 1267 0,'-4'0'75'0,"3"1"115"0,6 3-170 0,6-1-11 16,-1 1-2-16,-9-2-1 0,4 1 1 0,2-1-16 0,1-1-3 16,14 2-4-16,-6-1 8 0,-3-2 4 0,1 1 2 15,4-1-1-15,2 1 3 0,9 2 0 0,-2-2 1 16,0 0-2-16,-4-1-18 0,-4 0-74 0,0-2-48 15,1 1-8-15,-2-1-141 0</inkml:trace>
  <inkml:trace contextRef="#ctx0" brushRef="#br0" timeOffset="6">3741 10 489 0,'0'-3'566'0,"-2"-2"-358"0,2 1-72 0,-3 2-46 0,6 1-68 16,-3 0 3-16,0 2-13 0,0-2 10 0,-5-3-27 15,3 5 3-15,1 1-1 0,-1-2 4 0,2 4 10 0,-1-1-11 16,-3 0 4-16,1 8-4 0,-1-2 10 0,-1 4-17 15,-1-1 12-15,1 4-11 0,-2 0 21 0,3 3-15 16,4 4-4-16,-7-2-2 0,5 5 10 0,-2-1-7 16,-1 3 4-16,3-1-7 0,-1 3-6 0,3-3 12 15,-7-5-7-15,6 0 7 0,-1-4-4 0,-3 3-1 16,5-1 6-16,0-1-4 0,-2-9-13 0,2-2 23 16,0 2-16-16,-7-13 18 0,7 6-9 0,-5-5-5 15,4 1 4-15,-1-4-7 0,2-1-2 0,2-2-2 16,-2-4-1-16,1-2 1 0,2-1 10 0,-1-2-2 15,-2-3 6-15,5-1-4 0,-5-2 10 0,4 2-1 16,4 0-6-16,-1 0 3 0,3 4-3 0,-6-1 8 16,2 1 10-16,1 2-5 0,-2 1 15 0,3 3-8 15,2 0 2-15,-3 1-2 0,3 4 2 0,-3 0-1 16,0 2 3-16,1 4 0 0,-1-1 3 0,-2 0-10 0,2 1 1 16,-4 0-4-16,4 0 1 0,-2 4-12 0,0 2 1 15,-3 1-4-15,3 2-1 0,-2 3-7 0,2 1 1 16,-3 1-2-16,3 4 7 0,-5 0-9 0,0 1 2 15,2-3-4-15,-2-3 2 0,0-1-7 0,0-4-2 16,0 4-1-16,0-4 4 0,0 0-5 0,0 0 5 0,0-6-6 16,0-1 7-16,0-1-3 0,0 0 0 0,0-1-3 15,0 1 1-15,0 0-1 0,0-4 0 0,3-2-1 16,-1-7 2-16,4 0 22 0,-2 0-2 0,1 0 10 16,1-1 0-16,1 1-7 0,-2-1 8 0,2 2-7 15,3 2 3-15,2 0 6 0,-4 1-10 0,1 1 10 16,-2-1-3-16,-2 2 2 0,6 1 1 0,0 3-2 15,-5-2-4-15,1 4 5 0,0 0-5 0,-7-1 7 16,0 2 2-16,0 2-1 0,2 1 8 0,-2 3-8 16,9 3 5-16,-2 6-4 0,-3-2-7 0,1 3 2 15,-5 2-6-15,0 1-5 0,0 0 6 0,-2-1-6 16,2 2-10-16,0-4 4 0,-7 2-9 0,7-1 8 0,0-4-2 16,-5 0-16-16,10-1-4 0,-3-1-7 0,-2-2-30 15,0-2-12-15,5 1-36 0,-3-4 11 0,-2-4-70 16,0 3-64-16,-2-3 4 0,2-4-43 0,10 4 277 15</inkml:trace>
  <inkml:trace contextRef="#ctx0" brushRef="#br0" timeOffset="7">4242 118 375 0,'4'0'58'0,"-4"-1"155"16,-3-2 10-16,3 1-24 0,0 2-77 0,0 2-41 15,3 1-21-15,-3-1 1 0,-3 1-39 0,-1 1-15 16,-2 2-4-16,-1 4-2 0,-3-2 2 0,2 4-5 15,4 1 6-15,-5 0-7 0,2 1 5 0,-2-2-1 16,1 5 1-16,6 1-2 0,-3-1-5 0,3-2 10 0,-1 2-4 16,-1-4 6-16,4 4-11 0,0 2-3 0,-3-6-1 15,3 0 0-15,3 1-10 0,1-1 9 16,6 2-9-16,-2-3 11 0,-1-2 7 0,0-8-7 0,3 1 8 16,0 0-8-16,0-3 0 0,4 1 8 0,-1-7-2 15,1 6 4-15,-1-7 4 0,0-8-9 0,1 3-5 16,-1-6-2-16,-2 1-15 0,0 2 16 0,-2 0-2 15,-1-8 6-15,2 1-1 0,-3-2 0 0,0 1 4 16,-2 3-2-16,0 1 3 0,2 2 11 0,-7-1-8 0,2 0 11 16,-2 3 5-16,0-1-3 0,-4 2 14 0,1 2-12 15,-1 2 5-15,-3 0 10 0,1 1-8 0,-1 0 10 16,-4 0-10-16,7 4 4 0,-3-2-2 0,0 5 3 16,-1 1-3-16,-4 1-13 0,1 3 4 0,0 1-6 15,0 0 3-15,-1 2-9 0,2 0-2 0,-2 1 0 16,-1 4 6-16,-1 0-10 0,4 3-2 0,1 1-4 15,0 3-5-15,5 3 11 0,-3 1 1 0,0 0 1 16,0 3-17-16,1 0 16 0,1 1-11 0,3-2 13 16,0 0-16-16,2-3-30 0,2 0-13 0,0-5-3 0,5 0-15 15,4-1-36-15,-7-10-18 0,8 6-11 0,3-5-48 16,0-5-83-16,3-1 168 0</inkml:trace>
  <inkml:trace contextRef="#ctx0" brushRef="#br0" timeOffset="8">4682-2 1120 0,'-4'-7'243'0,"4"1"-134"15,-3 9-41-15,3-2-3 0,0 5-29 0,0 5-23 16,-2-1-2-16,0 4-6 0,-1 1-6 0,-4-1 4 16,2 2 1-16,-2 1 1 0,2 2-2 0,-3-1-8 15,1 1-1-15,0 0 0 0,-4 0 15 0,6 3-9 16,-4-1 3-16,0 2-6 0,5 1-4 0,-5-3 9 15,2 0-12-15,3-1 9 0,-3-4-27 0,3-1 10 16,-1 2-2-16,3-3 4 0,-6-1-8 0,8 2-19 16,0-9-2-16,-5 0-5 0,7 1-7 0,-6-6-10 0,4-1-6 15,2 3 0-15,-2-3 2 0,0 0 8 0,-9-4-14 16,2 2 1-16,3 1-75 0,-3-8-38 0,7 2 99 16</inkml:trace>
  <inkml:trace contextRef="#ctx0" brushRef="#br0" timeOffset="9">4538 278 160 0,'-5'-10'26'0,"7"-1"118"0,-6 1 11 15,4 1 2-15,2 0-35 0,3 5-19 0,3-1-15 0,3 4 11 16,-4 0-5-16,4 1-29 0,-2 1 0 0,4-1-11 16,-4 1-16-16,2-1-1 0,-2 0-8 0,1 2 6 15,0-1 5-15,5 3-20 0,-1 1 6 0,4-3-12 16,-1 2-7-16,-3-2-4 0,2-1-11 0,-4-1 2 16,0 1-39-16,-1-1-35 0,0-1-19 0,-2 1-7 15,0-2-43-15,-2-3-19 0,1 3-37 0,1-5 4 16,-4-4-74-16</inkml:trace>
  <inkml:trace contextRef="#ctx0" brushRef="#br0" timeOffset="10">4813-36 1075 0,'3'0'105'0,"-3"-2"155"0,0 5-199 0,0-4-28 15,0 1-29-15,0 2 14 0,0 1-17 0,0 5-6 16,0-2 9-16,0-1-8 0,-3 4 4 0,1 1 13 15,2-1 8-15,0 7 3 0,-2-5 26 0,-1 5-9 16,1 0-7-16,-3 2 1 0,1 0-25 0,0 4-2 16,-1 3-4-16,5 6 2 0,-2 2-5 0,2 3-18 15,0 2 2-15,2 3-8 0,3-1-3 0,-3 2-61 16,3-1-19-16,1 0-17 0,-1-1-81 0,-3-4-202 16,0 0 247-16</inkml:trace>
</inkml:ink>
</file>

<file path=xl/ink/ink29.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60"/>
    </inkml:context>
    <inkml:brush xml:id="br0">
      <inkml:brushProperty name="width" value="0.05153" units="cm"/>
      <inkml:brushProperty name="height" value="0.05153" units="cm"/>
    </inkml:brush>
  </inkml:definitions>
  <inkml:trace contextRef="#ctx0" brushRef="#br0">11942 3344 647 0,'-3'8'753'0,"1"-1"-528"0,0-1-156 0,2-2-16 16,0 2-42-16,0 0-14 0,0 0 9 0,0 0-13 15,0 1 6-15,0 7 18 0,-3-1-6 0,1 1 14 16,1 3 16-16,1-3-15 0,0 5 17 0,1 4-16 16,1 0 14-16,1 6-20 0,-1-1-7 0,0 4-2 15,3-2-11-15,-3 5-5 0,1 2 1 0,-3-2-4 16,0 2 3-16,0-6-13 0,0-1-1 0,0 2-4 15,0-6-11-15,0-2-9 0,-5-5-11 0,5-3 0 16,-2-1-38-16,2-2-29 0,0 0-20 0,-3-5-2 16,3-1-46-16,0-7-80 0,0 2 158 0</inkml:trace>
  <inkml:trace contextRef="#ctx0" brushRef="#br0" timeOffset="1">11772 3351 476 0,'-4'3'76'0,"8"1"227"0,1-1-296 0,0 2-6 15,-5-1-10-15,0 2 9 0,-3 1 10 0,10 4-4 16,-7 1 14-16,5 0-9 0,-5 1 22 0,-5 0 8 16,8 0 1-16,-4 7 4 0,5 6 21 0,-1-6-13 15,-1 8 8-15,0-4-12 0,-2-3-28 0,5 12-16 16,-10-9-13-16,1 5 7 0,8 1 9 0,-4-3-13 16,0 5 6-16,-2-7-11 0,-9-2-5 0,11 2 2 15,0-3-6-15,2-2 3 0,0 0-8 0,-6-3-3 16,2 0-8-16,-3-3 4 0,-8-6-8 0,13 2-31 15,-2-1-14-15,2-2-11 0,6-2-63 0</inkml:trace>
  <inkml:trace contextRef="#ctx0" brushRef="#br0" timeOffset="2">11599 3673 1349 0,'-2'2'113'0,"2"-2"-67"15,-2-5-33-15,2 3 4 0,-10 1-41 0,8 0 23 16,4 4 1-16,3-1 9 0,4 2 16 0,-6-3 30 16,5 3 1-16,-6-8 10 0,10 5-6 0,1-1-11 15,0 0-6-15,8 3 3 0,-8-5-14 0,9 4-12 16,-5-2-3-16,1 0-3 0,5 1-7 0,-3-2-7 15,2-4 0-15,3 1 0 0,3 2 5 0,1 3-13 16,0 2-1-16,-2-5-7 0,-2-1-9 0,-3-6-3 16,0 6-6-16,0 2-1 0,0-4-25 0,-2 5-11 0,0-7-19 15,-4-1 3-15,5 6-47 0,-9-8-76 16,-3 5-66-16,-4-4-28 0,1 1 307 0</inkml:trace>
  <inkml:trace contextRef="#ctx0" brushRef="#br0" timeOffset="3">11668 3835 735 0,'3'2'120'0,"0"0"-19"0,2 1 12 0,4 0-36 15,-6-2-27-15,9 0 10 0,-2-1 11 0,0 0 0 16,4 0 19-16,-1-1-13 0,7 0-3 0,0 1 0 15,-4-1-6-15,2-1-30 0,-3 1-4 0,1 1-7 16,2-3-15-16,2 2-11 0,2-1-9 0,-2-2 1 16,0-1-16-16,-4-2-39 0,1 1-18 0,6-3-8 0,-6 1-60 15,3-1-129-15,2 2 172 0</inkml:trace>
  <inkml:trace contextRef="#ctx0" brushRef="#br0" timeOffset="4">12442 3363 1302 0,'0'0'88'0,"-3"3"-71"15,2-2-8-15,0-1-12 0,1 1-6 0,-1 0 9 16,-2 2 2-16,3 0 7 0,-4 2 23 0,1 0 6 0,1 2 7 16,0 0 0-16,-4 0 15 0,5 2-15 0,-3 4 2 15,4 4-5-15,0 1-6 0,-2 3-26 0,-3-3 2 16,3 3-8-16,-1 4 6 0,-1 4-8 0,1-4-2 15,1 2 0-15,-1 0 2 0,3 0-4 0,0 6 1 0,0 0-2 16,0-2 10-16,0 0-10 0,0 0 6 16,0 6-6-16,2-3 11 0,-1 0 3 0,4 1 7 15,-3-1-3-15,0 0 12 0,1 0-10 0,-1-3 0 0,1-1-3 16,1-1-8-16,-4-7-13 0,3 1-11 0,-3-7 0 16,0-2-26-16,0-5-23 0,-5-8-22 0,5 4 0 15,-2-2-46-15,2-1-110 0,0 1-106 0,0-8-37 16,0-4 392-16</inkml:trace>
  <inkml:trace contextRef="#ctx0" brushRef="#br0" timeOffset="5">8208 4414 42 0,'-7'-2'12'0,"4"-2"20"0,-5-1-2 0,4 2 11 16,11-1 17-16,-7 2 25 0,0-2 11 0,-3 2 3 15,-1 2 3-15,4-1 0 0,4 2-8 0,-1-1 8 16,-1 0-15-16,-4 0-23 0,-3 0 2 0,0 0-6 0,8 0 9 15,-3 1-21-15,0-1-9 0,-3 3 0 0,-5-1-7 16,7 0-20-16,1 3 11 0,2 0-16 0,1 1-1 16,-3-1 2-16,-9 2-10 0,5 2 7 0,-3-2-3 0,0 2 0 15,4-1 4-15,0 5-4 0,3 0 2 0,-7-1-3 16,0 2 2-16,-1-3-2 0,-2 3 6 0,10 3-10 16,-4 0 2-16,-4-1-5 0,5 0-4 0,-4 0 9 15,0 0-11-15,-1 2 9 0,-1-1-7 0,4 2-4 16,-1-4 3-16,1 0-5 0,3-1 5 0,-7-1 10 15,2 0 0-15,3 1 3 0,0-1 8 0,-1-5-8 16,3 4 10-16,2-5-11 0,0-1 2 0,0 2-1 16,0-4-5-16,0 2 5 0,2 0 4 0,-2 0-7 15,0 0 7-15,5 0-7 0,-3-2 5 0,0 2 0 16,3-1-2-16,-2 1 3 0,2 0 7 0,2-2-2 16,-1 2 2-16,3-1-3 0,1 1 1 0,3-2-8 15,-9 1 4-15,7-3-4 0,5 1 8 0,6-3-5 16,-2 0 2-16,0-1-5 0,-6-4-20 0,-4 0-27 15,3 1-22-15,4-4 4 0,-2 1-34 0,2 0-67 0,2 0-23 16,-6 0-21-16,4 0-94 0</inkml:trace>
  <inkml:trace contextRef="#ctx0" brushRef="#br0" timeOffset="6">8914 4659 810 0,'-3'14'127'16,"-2"-5"337"-16,1-1-399 0,1-11-66 0,3 5-9 15,-2-1-14-15,0 0-6 0,0 6-1 0,-1-2 7 16,2 4-3-16,-2-1 26 0,1-3 1 0,0 1 1 16,-1 0 0-16,1 3 2 0,-3 1 5 0,3 2-1 15,-1-5 2-15,-2 1-11 0,0-1 2 0,1-1 1 0,1 1 1 16,0 0-1-16,0-3-10 0,3 0 9 0,-2-3-7 16,2-1 10-16,0 0-13 0,0 1-16 0,6 3 6 15,-10-5-12-15,4 1 12 0,0-2 14 0,-7-2-4 16,12 3 25-16,-5-4 22 0,0 0 4 0,6 2 6 15,-1-3 17-15,-1-4-2 0,1 0-8 0,0-2 3 16,3-1-25-16,-1 2 3 0,1-2-4 0,-1-1 3 16,2 2-13-16,4-1-14 0,-1-6 2 0,3 6-5 15,-1-3 0-15,-1 0-4 0,-3 7 1 0,4-6-2 16,-1 5-12-16,-1-3 13 0,1 2-11 0,-2 8 13 0,5 0-3 16,-5 3-8-16,0-2-2 0,0 1-4 0,-5-6-13 15,8 10-41-15,-1 1-23 0,-6-4-8 16,2 5-93-16,0-5-142 0,-2 1 197 0</inkml:trace>
  <inkml:trace contextRef="#ctx0" brushRef="#br0" timeOffset="7">8639 4642 202 0,'-15'0'28'0,"10"-3"170"0,5 3 41 15,5-1-93-15,-1 1-42 0,1-2-46 0,-3-3-12 16,-4-3-3-16,5 6-8 0,-6-3 1 0,5 5 4 15,1 2-2-15,-15-8-1 0,7 3 2 0,-5 0-1 16,-2-2 2-16,4 4-11 0,-1 5 6 0,2 3-12 16,-6-4 10-16,-1 8-24 0,3-3 2 0,-5-6 1 15,8 15 1-15,-2-10-1 0,0 1-4 0,-2 0-11 0,2-3 3 16,0 5-18-16,2 4 2 0,1-3 0 0,0-1-1 16,2 2 5-16,-3-6 4 0,4 6 6 0,-1 1-5 15,-2-3-2-15,5 2 13 0,-1-2-5 0,2 0 7 16,0-1-4-16,0-1-1 0,1-2 0 0,-3-1-1 15,3-1-15-15,6 1 16 0,1-1-7 0,5-1 9 16,-2 1-10-16,-3-3 3 0,2-1 4 0,5-5-1 16,-4 0-10-16,2-4 11 0,1 0-8 0,1-3 9 15,1-2-14-15,1-1-1 0,4 0 1 0,-2-3 1 16,-6-2 6-16,8 3-10 0,-8-1 7 0,3 2-5 0,-6-4 22 16,3 8-1-16,1-3-3 0,-6 5 1 0,1 3-14 15,-5-2 21-15,-1 1-1 0,0 7 10 0,-2 1 14 16,0-2-9-16,-2-2 10 0,-5-6-11 0,7 13-8 15,-5-2 11-15,8 8-7 0,-3 2 9 0,-9-9-15 16,5 11-9-16,-7-4-1 0,4 2-1 0,0 4-3 16,-2-4 4-16,-2 3 0 0,4 1 3 0,0 1-2 0,4 2-6 15,-4 1 0-15,2 2-1 0,-4-3 3 0,5 1-4 16,7-1-6-16,-3-2 1 0,1-1 3 0,0-2-12 16,-6 1 3-16,8-3-11 0,-1-1-21 0,4-1-5 15,5-1-28-15,0-1 15 0,-2-3-34 0,2-1-26 16,-2-3-9-16,0-3-14 0,7-4-56 0</inkml:trace>
  <inkml:trace contextRef="#ctx0" brushRef="#br0" timeOffset="8">7859 4662 200 0,'11'9'27'0,"-3"-5"204"0,-1-5 18 0,-2 0-68 0,0-9-77 15,3 7-39-15,-1-4-2 0,2-3-9 0,4 6-12 16,0 3 5-16,3 1-5 0,-3 0 7 0,1-4 3 15,1 2-16-15,-4 4 7 0,5 0-10 0,2 5-3 16,-3-4-20-16,1-2-8 0,0 4-1 0,-6-3-11 0,4 1-54 16,-3-1-24-16,5-2-11 0,1-2-74 0,-1 0-132 15,0-3 188-15</inkml:trace>
  <inkml:trace contextRef="#ctx0" brushRef="#br0" timeOffset="9">11784 2347 708 0,'0'0'127'0,"0"0"-78"0,2 0-13 0,-2 1-13 16,-2 1-23-16,2 1 1 0,-2-1-5 0,6 5 6 16,-8-3 15-16,4 4 13 0,-10-6 16 0,2 3-7 15,6 4 1-15,-8-1-2 0,10 4-12 0,0 3 9 16,3 1-17-16,-1-2-10 0,3 3 0 0,-15-4-4 16,2 1-6-16,5-3 1 0,-3-4-5 0,1-1 3 15,3 1-6-15,2 0-10 0,-2 2 10 0,2-1-10 16,-5-2-2-16,-3-1 17 0,3-1-13 0,5 0 17 15,0-1 0-15,2 6-7 0,-4-10 7 0,0-2-9 16,4 1-2-16,-2-2 12 0,0 3-9 0,-2-2 10 16,2 3-5-16,0-5 19 0,2 4 0 0,-2-2 6 15,-5-11-16-15,10 9 34 0,-5-7-10 0,5-1 18 0,-1 11-10 16,-2-17-7-16,2 5 3 0,3-1-7 0,-7-3-12 16,7 9-6-16,4-2-9 0,-4-3 4 0,8 6-4 15,-3-2-2-15,-2 3 3 0,7 3-3 0,-7-2-9 0,-1 1 12 16,4 3-6-16,-3-2 5 0,-3 4-30 15,1-1 16-15,-1-2-19 0,2 2 16 0,-1-3-34 0,4 3 1 16,1-2-13-16,-4 3 7 0,2-2-13 0,-4 1-9 16,0 1 16-16,1-2-14 0,-3 0 37 0,-1 2 26 15,1 0-1-15,-3 0 10 0,2 3 21 0,-2-3-3 16,-2 0 15-16,0 0-12 0,2 0 11 0,1-1 8 16,-3 3 1-16,0 1 5 0,2 2 6 0,-2-1-22 15,-2-1 10-15,-1 1-13 0,1-1 0 0,-1 3 10 16,-1 0-13-16,1 1 14 0,0 4-9 0,-1-6 0 15,-3 4-2-15,1-2-1 0,-1 0-17 0,2 0 10 16,-2 2-4-16,3 2 7 0,0 0-2 0,-1 4-14 16,0-6 7-16,3 0-9 0,-1 2 0 0,1-3 0 0,5 8-5 15,-1 1 4-15,3-10-10 0,2 3-4 0,-5 0 2 16,4-7-3-16,1 8-2 0,0-1 6 0,4-4-26 16,-2 2 14-16,0 2-54 0,2-9-53 0,0 0-29 15,2-2-14-15,-3-18-136 0</inkml:trace>
  <inkml:trace contextRef="#ctx0" brushRef="#br0" timeOffset="10">11399 2249 719 0,'0'0'123'0,"0"1"-54"16,0-1-6-16,0 1-11 0,0 0-18 0,2 1 6 15,-2 0-16-15,0 0 13 0,-2-1-23 0,2 3 24 16,-4-3 0-16,2 2 7 0,2 2-13 0,0 0 5 16,-3 2-4-16,3 1 6 0,0 0-5 0,-2 3-21 15,2 0 0-15,0 3-8 0,-2 2-6 0,-3 2 2 16,3 1-8-16,-1 9 7 0,3 0-6 0,-2 5-7 15,2 2 5-15,-2-1-7 0,-2 1-1 0,4 2 4 16,-2 2-5-16,0-2 5 0,2 1-5 0,-5-5 4 16,3-1-8-16,-1 1 4 0,1-2-33 0,2 2 34 15,-4-3-17-15,2-3 20 0,-3-1-30 0,3-2 3 16,-3-1 2-16,5 2-3 0,-2-7 4 0,0-2 14 0,2-5-10 16,-5-8 9-16,5-2-15 0,0 0-28 0,-3 4 0 15,3-2-15-15,-3-4-28 0,1-3 11 16,-1-1-5-16,1-5 12 0,2 1 49 0,-7-5 29 0,2-6 16 15,0-6-5-15,0 2 4 0,3-3 31 0,2 1 22 16,-3-1 4-16,-1-1 79 0,0-3-38 0,-1 1 3 16,3 2-16-16,-5-3-32 0,7 3-13 0,-2 1-6 0,-3-1 4 15,-3-3 12-15,3 4-12 0,5 2 9 0,7 6-11 16,6 6-9-16,-8 1 4 0,-3-4-10 0,0 0 11 16,1 2-5-16,1-2 2 0,5 1 1 0,0 5-2 15,-2-2-16-15,3 4 4 0,0 2-11 0,0-2 10 16,4 1-4-16,2-2-8 0,1-1 2 0,1 3-5 15,-2 1-7-15,-1 0 2 0,0 1-3 0,-1 0 3 16,2-1 0-16,-4 4-4 0,2 1 5 0,-4-1-6 16,0 1-2-16,1 1 9 0,0 0-4 0,1 1 6 15,-4 3 9-15,2-1 1 0,-3 3-1 0,-2-1 0 0,0-2 3 16,0 6-10-16,-1-2-7 0,5 7-2 0,-5-4-11 16,-6 1 2-16,0 1 11 0,-2-2-10 0,4 3 1 15,-7-4 13-15,5 1 2 0,-8-2 4 0,-2 0 4 16,9 7-4-16,-8-4-1 0,0-4 0 0,4 0-6 0,-6-8 12 15,6 8-3-15,-4-6 11 0,0-1 6 0,2 3-13 16,1-1 7-16,1 0-9 0,-3 7 1 0,2-6-9 16,-1-2-5-16,0 4 2 0,2-3-8 0,-2-4-1 15,2-1 4-15,1-3-2 0,-1-1 9 0,3 6-6 16,-5 0-4-16,2-6-1 0,3 5-22 0,-1-3-23 16,4 3-23-16,1 9 0 0,1-7-74 0,-1-4-102 15,5 1 151-15</inkml:trace>
  <inkml:trace contextRef="#ctx0" brushRef="#br0" timeOffset="11">12391 2389 1077 0,'0'1'98'0,"6"3"-34"15,-4-1-13-15,3 2-6 0,2 0-35 0,-4-1 1 16,-2-4-11-16,-1 3 3 0,0-3-32 0,0 0 5 16,2-1 4-16,-2 1-1 0,0 0 12 0,0 0 13 15,2 0 2-15,-2-5 3 0,0 4-2 0,0-5 3 16,0 3-4-16,0 1 4 0,3-1 4 0,-3 1 1 16,-3-2 5-16,3-2-4 0,-5 0 10 0,2-1-20 15,-4 1 2-15,0 1-8 0,-1 2 6 0,-4-1-1 16,2 1 4-16,-2 1-5 0,-1 0-1 0,2 2 14 15,-5 0-2-15,2 0 8 0,-1 2 10 0,2-1 4 16,6 2 1-16,-2 2-1 0,4 1-13 0,0 3-3 0,-7-2-3 16,4 0 0-16,1-1-18 0,0 0 4 0,-2 3-3 15,5-2 5-15,-3 5-8 0,-8-5 3 0,3 0-3 16,10 8 5-16,-9-5 3 0,17 7-7 0,8 2 2 16,-14-6-3-16,8 4 9 0,1-2-17 0,-2-4 7 15,6 4-12-15,-3-3 9 0,0 2-4 0,2-2-1 0,-3-10-2 16,6 3-6-16,1-2 9 0,3 2-4 0,8 3 6 15,-2-2-4-15,-1-6-6 0,-2-1 0 0,1-6-2 16,1 8 7-16,-4-6-12 0,5 1 4 0,-3-2-6 16,-4-10 23-16,2-1 1 0,0 5 6 0,-2 2-4 15,-1 2-9-15,8 2 27 0,-8-11-5 0,-3 1 16 16,-3 1 5-16,-2-4-2 0,-4 2 5 0,8 0-4 16,-11-2-3-16,-2 3-10 0,0 3-3 0,0 1 1 15,-2 3 5-15,-1 3-7 0,1-2 11 0,-4 4-10 16,6 1 4-16,-7 2-3 0,-2 0-3 0,8 2 2 15,-9 1-7-15,-4 0-5 0,4 3-4 0,-10 1 1 16,8 2-3-16,8 7-8 0,-2 0 1 0,1 0-2 0,0 6 3 16,3 2-5-16,2 1 7 0,0 4-4 0,0-6 14 15,0-2-4-15,0 2-3 0,0-4 1 0,7 7-1 16,-2 0-15-16,3 0-2 0,4-5-8 0,-2-3-26 16,6-3-71-16,2-1-64 0,-1-2-8 0,-5-3-242 0</inkml:trace>
  <inkml:trace contextRef="#ctx0" brushRef="#br0" timeOffset="12">12079 2205 1074 0,'-7'5'171'0,"2"-2"-103"0,2 4-22 0,4-1-15 16,-2-2-38-16,1 1-42 0,0-3-20 0,0-1-7 15,-4 0-65-15,4 2-60 0,4-2 114 0</inkml:trace>
  <inkml:trace contextRef="#ctx0" brushRef="#br0" timeOffset="13">8661 3016 938 0,'-11'-2'96'0,"4"2"241"0,10 6-296 16,-1 3-35-16,-2 0-6 0,-5-6-9 0,-3 0-19 0,6 0 11 15,-3 0-1-15,3 5 6 0,-5-1 12 0,0 3 8 16,1-3 8-16,-3 6-2 0,2 1 12 0,1-4-2 16,1 6-3-16,3-5 2 0,-3 4-10 0,5 6-13 15,-6-1 1-15,4 1-4 0,0-4-1 0,-5-4 8 16,4 4-5-16,1-3 6 0,2 0-7 0,0-1-5 15,2-3-3-15,5 0-1 0,-7-2-8 0,7-2-2 16,2-2 6-16,-2 1-3 0,3-3 17 0,-1 1 1 16,4-2 0-16,1-1 0 0,6 0 0 0,-6-2 15 15,-3-4-7-15,-2 0 10 0,-1-4-7 0,2 0-4 16,2-2 2-16,0 1-1 0,6-2 0 0,-7-3-3 16,4 0-8-16,-5-2 3 0,-4-1 0 0,5 0-6 0,0-2 3 15,-4-3-7-15,2 2-1 0,-1-1-1 0,-1-2 7 16,-4-5-5-16,1 4 11 0,2 4 0 0,-8 2 4 15,4 7-3-15,-2-4 6 0,-2 2 1 0,-2 2-2 16,2 5 5-16,-5-1 10 0,2 3-5 0,-2 1 13 16,1 2-10-16,2 2 16 0,-6-2-22 0,5 3 3 15,-5 0-7-15,0 0 1 0,0 6-6 0,1 1-1 16,1 2-1-16,-6 3 0 0,3 1 5 0,2 0 2 0,-1 6 0 16,-7-1-6-16,2 0-8 0,-1 2-2 0,3-1-1 15,8-1 6-15,-1 1-25 0,4 7-7 0,-5-5-8 16,-8 1-33-16,10-2-60 0,0-5-52 0,1-3-5 15,13 1-182-15</inkml:trace>
  <inkml:trace contextRef="#ctx0" brushRef="#br0" timeOffset="14">9285 3005 809 0,'-3'-6'53'0,"3"2"-25"16,8 11-32-16,-1-9 15 0,1 1-39 0,-6-7 23 15,-4-8-1-15,4 11 6 0,-1-4-7 0,-1 5 42 16,-3-1 6-16,0 1 13 0,1 4 19 0,2-3-11 16,0 3 10-16,0 0-7 0,-5-1 0 0,0 1-26 15,0 4-15-15,-2 2 4 0,-3 1-4 0,-7 1 5 16,4 2 9-16,-1 2-6 0,3 2-6 0,-5-3 9 15,1 0-6-15,-5 0 8 0,0-1-22 0,8 8 3 16,-7-13-7-16,6 8 5 0,1 1-16 0,-3-5 6 16,3 7-10-16,2-5 10 0,-2-6-1 0,-1 0-7 15,6 7 4-15,-1-2-6 0,1-1 8 0,5-7-14 16,-1 3 6-16,3-2-11 0,0-1-4 0,3 8-1 16,-1-8-4-16,4 6 4 0,1-1 5 0,0-4 8 0,0 3-1 15,1-5 2-15,4 4 1 0,1-1-3 0,1 1 5 16,-2 0-4-16,11 1 9 0,-8 1-5 0,-1-1 1 15,-1 1-3-15,-9 1 3 0,9-1-1 0,-1-1 2 16,-5 1-1-16,3 1 0 0,-3-1-2 0,0 1 4 16,-2-1-1-16,-1 0 8 0,0 1-5 0,-6-1 3 15,7 2-2-15,-5-1 15 0,-5 0-6 0,7 1 4 0,-13 1-5 16,0-1 10-16,-2 0-3 0,-1 0 2 0,-1-1-3 16,6-1-7-16,-7-4-14 0,1 2-11 0,4-1 1 15,-7-3-19-15,2 1-64 0,-2-3-25 0,1-3-17 16,-1-3-96-16</inkml:trace>
  <inkml:trace contextRef="#ctx0" brushRef="#br0" timeOffset="15">8090 3915 173 0,'0'-2'24'0,"5"2"134"0,-5 0 19 16,0 0-65-16,2 0-77 0,-7 0-13 0,5 0-12 16,0 0 9-16,0 0 16 0,0 0 18 0,-4 0 13 15,-1 2-5-15,-1-1-11 0,4 3-1 0,-1-1-7 16,-1 1 8-16,1 2 1 0,-4 2-8 0,-1-1 2 0,-1 0-4 15,-2 0-10-15,4 3-2 0,0 0-6 0,-1-1 5 16,-1 0-8-16,-1-1-13 0,2 4-2 0,1 8-3 16,-2-2-11-16,1-1 9 0,1-3 2 0,-1-5 4 15,1 1-6-15,2 7 0 0,0-1-4 0,5 3 4 16,-2-2 5-16,2-7-6 0,0-3 0 0,0-3-4 16,2 1-4-16,1-1-5 0,1 3 2 0,1-4-2 15,1-2 1-15,5 2 2 0,1 0-2 0,3-4 4 16,-2-3 24-16,1-5-21 0,1-1 12 0,-4-2-17 15,3 1 3-15,-3 2 11 0,2 1-6 0,3-3 7 16,1 2-1-16,-8-9-1 0,-2 3 5 0,4 6-4 16,-4-5 9-16,3 4-16 0,7-3 3 0,-13-1-7 0,5 1 16 15,-5 1-1-15,-4-1 10 0,3 0-7 0,-3 2 10 16,2 1-10-16,-2-1 1 0,0 2-3 0,-7-3 12 0,0 3-9 16,1 1 1-16,-3-2-4 0,-2 3-8 0,0 0 18 15,-1 1-8-15,1 3 13 0,4 2-10 16,-1 1 3-16,-1 0 1 0,-2 2-1 0,-5 1 0 0,5 2-10 15,0 2 0-15,-2 0-2 0,4 0 9 0,-2 1-10 16,2-1 5-16,2 2-8 0,-1 0-2 0,1 2-4 16,0 0-6-16,2-1 3 0,1-1 6 0,2 6-7 15,2-5 4-15,0 2-8 0,4 1-10 0,0-3 4 16,3-2-12-16,3 0 9 0,-5-2-4 0,7-3-12 16,0 3 8-16,3 0-13 0,7 0-6 0,-2-6 8 15,2 0 1-15,0-7 4 0,3 0 20 0,2-1-5 16,-3-3 2-16,6 4-6 0,-11-8-9 0,6 2 13 15,-2 3-5-15,2-7 9 0,0 5 12 0,-7-3 15 16,2 1-4-16,0 4 5 0,0-1-18 0,-3 3 35 0,-1 2-4 16,-5 1 14-16,-2 1-2 0,-3 0 8 0,-1 1 6 15,-1 1-1-15,-1 2 2 0,-1 4 8 0,-2 0-21 16,0-1 18-16,2 5-16 0,-2-1-29 0,-2 3 6 16,0 4-16-16,-1 0-1 0,1 6-21 0,-4-4 6 0,2-2-11 15,-1 5 11-15,0-6-2 0,3 0 10 0,0 1-7 16,-2-5 15-16,3 3-9 0,0-4-7 0,0 1 0 15,1-1-13-15,-2-8-10 0,2 7 5 0,0-5-8 16,0-2 3-16,0 1 21 0,0-2-2 0,0 1 9 16,0 4 0-16,0-6 3 0,0-3 6 0,0-1-2 15,2-3 9-15,0 0 12 0,-1-3-1 0,3 5 8 16,0-5 16-16,1 3-4 0,2 1 11 0,-1-10-7 16,1 3 12-16,0-3-12 0,0 3 0 0,3 1-3 15,1-1-12-15,3 1-13 0,3 0-10 0,1 2 3 16,2 4-8-16,2 1-11 0,-3 1 8 0,3 4-9 15,0-1 5-15,-4 2-17 0,-1 1-24 0,5 2 5 0,-8 0-74 16,8 0-74-16,-2 0-84 0,2 2-17 0,3-1 298 16</inkml:trace>
  <inkml:trace contextRef="#ctx0" brushRef="#br0" timeOffset="16">9426 4602 569 0,'0'-2'125'0,"0"-8"-43"16,-2 1-20-16,-2-4 6 0,2 5-12 0,-1 11 2 16,-1-3 11-16,-1 3-4 0,-5 1 17 0,0-3-19 15,-3 1-4-15,2 0-2 0,-2 3-2 0,-2-1 1 16,1 3-1-16,-1 3-1 0,0-4-21 0,0 3-5 16,0-2-8-16,8 3 5 0,-8 0-15 0,3-1-7 0,1 3-3 15,-5-6 0-15,8 7 2 0,4 1-8 0,-8-8 8 16,-1 5-8-16,4-3 6 0,-4 1-4 0,10 10-3 15,-4-4 2-15,0 0 2 0,2-2-14 0,2 0-6 16,3-2-1-16,-4-1-9 0,4 0-5 0,0-6-6 16,2 3-2-16,11-2-22 0,-4-4 13 0,9 2 3 15,2-7 4-15,-2-3 18 0,4-1-8 0,-6-3 2 0,-1-3-7 16,2 2-9-16,7-2 39 0,-7-3-6 0,1 2 17 16,-1-2-2-16,-5 0 18 0,3 4 3 0,-1-1 4 15,-1 3 7-15,-4 4 15 0,2 0-2 0,-4 0 9 16,-5 0 6-16,0 2-7 0,-2 4 7 0,2-3-7 15,-1 5 8-15,0 3-21 0,-1-4 2 0,0 4-5 16,-4 1 13-16,2-4-24 0,0 8 4 0,-1-2-12 16,-1 3-7-16,1 5-2 0,-1-2-2 0,0 0 1 15,0 1-2-15,-1-2-3 0,0 0-1 0,3 3-1 0,-4 2 2 16,4 0-6-16,-3 1 2 0,0 1-3 0,5-1 2 16,-2 2-11-16,0 1-1 0,-1 0-3 0,1 4-4 15,0 2-7-15,1-1 1 0,-4 1-4 0,3-2-5 16,-3 4 0-16,-4-4-2 0,3 3 2 0,-1 2 13 0,-3-5 1 15,7 4 14-15,-4-5-8 0,-6-4 20 0,6 0-18 16,-2-1 0-16,3-5-6 0,1 1 6 0,-4-4 0 16,4-2 5-16,-8-2-2 0,4 0 9 0,4-1 1 15,-3-4 6-15,1-1-3 0,0-1 2 0,-8-4 0 16,6-2-7-16,-2-2 7 0,4-3 8 0,-6-2 24 16,-4 0 4-16,0 0 4 0,-3-1 12 0,13 5 2 15,-3-5 1-15,5 0-2 0,-2-3-18 0,-1-7-7 16,1 4 0-16,5-3 0 0,-3-2-6 0,5 7-8 15,2-3-2-15,-2 1 0 0,7 8 0 0,-1-4-9 16,4 6 5-16,4 3-4 0,-2-6 11 0,-2 1-11 0,0-3 4 16,2 1-6-16,1 2-4 0,4 0-3 0,4 3-6 15,-3-3 4-15,6 3 3 0,-1 0-9 0,-1-2 4 16,2 1-5-16,2-1 0 0,3 0-4 0,3 1 0 16,0-1-1-16,-2 0 0 0,-1-1-13 0,-2-1-1 15,0-1-2-15,-1-1 16 0,0 0 13 0,-1-2 5 16,-1 4-3-16,-5-2-3 0,4 0 8 0,-1 3-1 15,3-3 5-15,-4 4 0 0,-4 1-4 0,-1 2 1 0,-5-3-2 16,-2 1-5-16,-5-6 17 0,3 7-3 0,-2 2 9 16,-4-1-14-16,4 8 13 0,-5-1 2 0,0-1 5 15,-6-1 19-15,4 3-23 0,-3-2 0 0,-2-1-7 16,2 3 0-16,1-2 1 0,0 5 2 0,-5 1-3 16,-4-3-6-16,3 3-5 0,-2-1-2 0,7 2 0 15,0-1 0-15,-3 4-3 0,3 0 3 0,-9-5-4 16,4 11-4-16,3-6-1 0,0 4-2 0,7 2 3 15,-7-6 11-15,-4 2-12 0,4-1 7 0,7 8-9 16,5 2 11-16,-5 0-8 0,0-4 4 0,-2-2-5 0,-4-1 5 16,9 0-6-16,0-2 1 0,4 0-2 15,-3-5-2-15,9 3-8 0,-13-1-3 0,10-4 1 0,-8 1 1 16,3-6 3-16,12 1-2 0,1-2-1 0,8-3-19 16,-3-1-49-16,1-4-46 0,-6-3 1 0,-1-2-111 15</inkml:trace>
  <inkml:trace contextRef="#ctx0" brushRef="#br0" timeOffset="17">10072 4255 398 0,'0'7'54'0,"1"-4"298"16,-1 2 34-16,-4-6-168 0,0 1-161 0,6 1-30 15,-4-1-10-15,2 5-2 0,-3-3-9 0,-1-1 5 16,1 4 9-16,3-1-3 0,-2 2 6 0,-1 0 9 15,0-1-11-15,-1 4 11 0,1-1-16 0,3 3-5 16,-2 2-2-16,0 1-2 0,-1 1-4 0,1 3-3 16,0 2-1-16,-2-2-2 0,-3 3-2 0,2 0 9 0,-3-1-5 15,4 1 4-15,-1 5-4 0,-2-5-12 0,5 6 13 16,-3-1-14-16,-1-5 8 0,1 5-1 0,1-7-9 16,-4-7 7-16,3 7 1 0,0 0 0 0,1-5-2 15,1 7-2-15,1-10-11 0,2-2-10 0,0 3 1 16,0-5-3-16,0 1 20 0,0-2-9 0,5 0 11 0,-3-3-11 15,0 2 12-15,3-1-6 0,-2 1-11 16,4-1 3-16,-2-1-12 0,0-3-5 0,3 0-11 0,-1-2-4 16,5-2-63-16,0 0-41 0,0-2-54 0,8 3-10 15,-7-5 228-15</inkml:trace>
  <inkml:trace contextRef="#ctx0" brushRef="#br0" timeOffset="18">9912 4472 946 0,'-3'4'154'15,"3"1"-14"-15,-2-2 8 0,2-1-54 0,0 0-84 16,0-5 2-16,0 4-11 0,4 2 10 0,0 0-4 16,6 2 19-16,-1 1 0 0,4 1 7 0,-1-1 2 0,0 0-10 15,6-4-4-15,-2 1-2 0,4 0-2 0,3 1-17 16,2-2 3-16,1-1-9 0,-3 0-14 0,4 0-51 15,-8-1-44-15,3 0 0 0,-2-5-121 0</inkml:trace>
  <inkml:trace contextRef="#ctx0" brushRef="#br0" timeOffset="19">8242 5084 27 0,'1'-4'32'0,"-2"1"5"15,7 3 39-15,-6 1 21 0,0 0-2 0,0 1 13 16,-4 1 1-16,2-2-17 0,-1-3 6 0,1-2-7 16,-5 3 3-16,2 0-16 0,2 4-1 0,1 3-2 0,2 0-9 15,-2 0-12-15,4 1 0 0,-4-5-1 0,1 5-11 16,1 1 4-16,-5-1-9 0,1 5 9 0,-1-1-16 15,3 3-6-15,2 0-4 0,0 0 1 0,0 3-15 0,-8-4 2 16,-2 5 1-16,3-1 0 0,7 1 3 16,-6 3-13-16,4 2-1 0,-5 0-3 0,-8-3 5 0,10 4-3 15,1-2 0-15,1 5-1 0,-4 0 1 0,4-1-4 16,-2 2 2-16,3 0-3 0,-1 0-7 0,1 3 12 16,-3 0 3-16,1 2 2 0,0 0 5 0,0-3-23 15,-3 1-4-15,1-5-5 0,-1-1 8 0,0-3-24 16,2-3 4-16,-1 1-14 0,4-2-7 0,2-3-30 15,-3-2-12-15,3-2-5 0,-2-3-35 0,0-2-23 16,2-2-32-16,-3-3 3 0,3-1-67 0</inkml:trace>
  <inkml:trace contextRef="#ctx0" brushRef="#br0" timeOffset="20">8097 5350 683 0,'5'1'350'0,"-5"-1"-186"0,0 0-40 16,0-1-24-16,-7-4-62 0,9 4-21 0,3 1-3 16,-2-3 0-16,9 3 0 0,-5-2-10 0,-7-3-7 15,20 3 2-15,-5-2 4 0,1 0 1 0,4-1 15 0,-10 0-10 16,10 0 11-16,-8-2-11 0,8 3 7 0,2 2-5 16,-9 0 11-16,9 6-10 0,-3-2 0 0,-6-2 0 15,1 3 4-15,-4 0-12 0,0 0 1 0,0 6-4 16,2-3-4-16,-4 2-8 0,1 1 0 0,-4 0-3 15,1 3-6-15,-4 1 14 0,-2 5-4 0,0-1 8 16,0 0 4-16,-2 0 0 0,-1-3-1 0,0 0 0 16,-4-1-2-16,0-2-5 0,-1-2 1 0,1-1-1 15,2 2 6-15,0-3-2 0,1 1 0 0,0-3-2 0,-1-1-6 16,-2-4 17-16,2 0-5 0,-2-1 9 0,-5-3-14 16,1 4 0-16,-3-6 2 0,4 2 0 0,-2-2 4 15,-8-4-5-15,10 3-3 0,-9-3 1 0,9 5 9 16,0-1-16-16,-3 0 0 0,11 2-10 0,-7-2-24 15,9 3-14-15,2-1-24 0,-2 1 8 0,0-1-38 0,-2-1-30 16,-1-1-24-16,8 0-10 0,4 0-95 0</inkml:trace>
  <inkml:trace contextRef="#ctx0" brushRef="#br0" timeOffset="21">8646 5318 778 0,'-11'2'127'0,"7"3"42"16,4 0-14-16,0 3-15 0,2-7-111 0,0 2-23 15,-4 0-5-15,-5-2-2 0,7 3-12 0,-5-2 0 0,5 1 8 16,0 2-5-16,-8 0 12 0,8 1 6 0,-5-1-6 16,1 2 7-16,1 1-17 0,-8 0 7 0,5 1-13 15,-1 0 10-15,-4 1-13 0,7-1-11 0,-3-1 3 16,2 2-7-16,-3-2-2 0,3-1-3 0,1 0-8 15,-1-2 2-15,2-2 6 0,3 1 9 0,-3-3 8 16,1 1-5-16,2 1-1 0,0-1-10 0,-3-2 0 0,3 0-1 16,0 0 16-16,0-1 21 0,3-3 8 0,-2 2 1 15,1-3 16-15,3-1 9 0,0 0-5 0,-5-4 6 16,4-1-13-16,-1-1-6 0,1-3 1 0,9 3-2 16,-6-4 3-16,1 2 11 0,4 0-6 0,3 0 8 15,-6 1-19-15,2 0-1 0,1 2 2 0,-2 1-1 16,6 2-4-16,2 6 9 0,-10-2-5 0,-1-2 7 15,-7 2 0-15,7-1 1 0,6 4 3 0,-4 1-3 16,2 2-17-16,1 2 10 0,-8-2-11 0,1-1 11 16,1-1-4-16,-4 0-3 0,0 0 7 0,5 3-7 0,-2 1-6 15,-5 2 2-15,2-1-9 0,-2 2 9 0,-4-1-2 16,1 1 4-16,1-3 0 0,-3 5 1 0,8-1-5 16,-6 0-11-16,3 3 3 0,0-2-7 0,-4-1 7 15,-4 3-6-15,1 2 3 0,0-2-7 0,0 1-8 0,3-1-1 16,4-1-12-16,-7-1 10 0,7 1-2 0,0 0-30 15,0-1 9-15,0-2-19 0,0 1-4 0,5-2 4 16,2 1-13-16,6 2 10 0,-9-5 9 0,3-3 40 16,6 0 19-16,-5-5-3 0,9 1 14 0,0-2-1 15,-5-3-4-15,5 1 3 0,1-2 4 0,-4-2-4 16,3 2 4-16,-1-2-5 0,-2 2-5 0,-2-3 8 16,1-1-5-16,-3 0 9 0,-1 0 6 0,-3 2 9 15,-4-1 15-15,5 3-6 0,-5-2 21 0,1 3 17 16,-3-3-13-16,0 2 15 0,-5 0-18 0,3-2-3 15,-3-1-2-15,-1 1-2 0,2 1-36 0,-3 3 17 16,-6-1-8-16,1 3 14 0,-1-1-8 0,2 4-11 16,-2 2-1-16,-1 0-2 0,1 1 5 0,-5 0-9 0,4 4 11 15,1-2-10-15,-1 1 0 0,9 6-2 0,-5-5-9 16,6 5 5-16,-1-1-14 0,-3-4-3 0,3 3-11 16,3 3 7-16,-3-3 2 0,5 2-6 0,5 3 12 15,-5 0-13-15,4 1-2 0,-1-1-1 0,7 0-3 16,-3-1 3-16,5 0 15 0,5-2-6 0,-1-2 9 0,4-4-9 15,-3-1 8-15,4-2 13 0,2-1-3 0,0 0 7 16,0-4 1-16,1-2-3 0,1-2-1 0,1-4-3 16,-8-3-21-16,6-1 17 0,0 1-7 0,0 0 12 15,11 0 5-15,-8-1-10 0,-3-1 4 0,-6-4-6 16,1 6-1-16,-6-2 28 0,1 2-8 0,-2 6 19 16,-9-8 13-16,2-2 11 0,0 2 8 0,-3 3-6 15,-2-3-30-15,3 9 16 0,-6 4-15 0,1-2 16 16,-1 0-26-16,-4-1 1 0,4 0-4 0,-2 4 5 15,3 3 0-15,4 5-13 0,-4-4 1 0,-3 1-5 16,-2-1 2-16,-1 0 8 0,-6 2-11 0,6 3 8 16,6 0-14-16,-1 10-3 0,3-1 4 0,-4-3-4 0,-1 9-6 15,-4-8-12-15,3 4 8 0,-1 6-8 0,-1-3 12 16,5 8 9-16,-1 1-14 0,4 1 11 0,-7 0-13 16,-3 2-3-16,0-1 3 0,-6 2-6 0,7 0-7 0,0 1 15 15,3 0 2-15,-1 0 4 0,0 3 5 0,0-5-7 16,6-2-5-16,-2 1-1 0,-4-9-14 0,7 0 1 15,-7-2-8-15,2-10 3 0,5-1-8 0,-3-4-20 16,11 1 6-16,2-2-11 0,-3-3 19 0,1-4 35 16,1-3-7-16,6-2 15 0,-3-5 2 0,10-1-5 15,-11-5 14-15,5-4-11 0,-1-2 5 0,1 1 11 16,1-1-2-16,-1-1 7 0,-5-3 6 0,-4 1 20 16,-5-1 11-16,-4-2 2 0,0 2 18 0,4 3-26 15,-2 0-2-15,5 5-6 0,-5 1-28 0,-7 2 8 16,7 2-7-16,-10 3 9 0,9 4-10 0,-4 3 20 15,-2 4-8-15,5 1 13 0,-5 1-1 0,-3 1-7 16,-2 2 7-16,-1 2-5 0,4 2 7 0,-2 0-15 16,0 1-2-16,5-1-4 0,-4 0-7 0,10 2-18 0,-7-2-2 15,12 2-5-15,-5-2-1 0,5-1-8 0,-1-1 2 16,-11-3-4-16,14 3 0 0,-4-3 2 0,5 1 4 16,12 2-2-16,-4-5 11 0,-3 0-13 0,3-2-1 15,4-2-3-15,-5 1 16 0,5-3-2 0,-2 0 6 16,-1-2-7-16,4-2-7 0,-1 1 13 0,-2-3-1 0,1 1 7 15,-2-1 9-15,-2 3-7 0,0-2 7 0,-3 2-6 16,1 1 5-16,-2 0 1 0,-2 1 3 0,-2 0 2 16,-3 3 15-16,1-1-10 0,-3 2 6 0,-2 3-5 15,1 0 8-15,-1 0 13 0,3 1-16 0,-3-1 15 16,-3 0-18-16,2 6-8 0,-1-4 11 0,2 6-10 16,-2 0 5-16,-1 2-12 0,-1-1-2 0,-3 2-2 15,1 0-6-15,1 2-1 0,0 1-5 0,5 3 4 16,-4-1-8-16,4-1 4 0,0 2-8 0,0-1 6 15,0 0-5-15,0 1 2 0,2-1-5 0,3-1-1 16,-3-2-29-16,4-1-33 0,-1-4-16 0,2-1-5 0,0-1-39 16,-2-6-28-16,5 0-42 0,1-5-15 0,5-6 232 15</inkml:trace>
  <inkml:trace contextRef="#ctx0" brushRef="#br0" timeOffset="22">9605 5273 1307 0,'2'4'226'0,"6"4"-163"0,11 0-31 0,-6-2-23 15,-2 1-18-15,20-1 0 0,-20-5-3 0,20 3 2 0,5-4 7 16,-11-1-5-16,5-3 7 0,4-2-9 0,0 5-1 16,-4-5-65-16,2 3-68 0,-3-3-2 0,3-8-235 15</inkml:trace>
  <inkml:trace contextRef="#ctx0" brushRef="#br0" timeOffset="23">9792 4990 708 0,'-5'5'467'0,"7"3"-291"15,3 2-60-15,3 2-37 0,-8-2-52 0,0 2-18 16,-5-6-7-16,3 1-1 0,1-3-12 0,1-1 1 16,1 3 2-16,0-4-2 0,0 0 3 0,2 2 5 15,-3-2-2-15,-3 5 3 0,0-4 5 0,5 4-10 16,2 2-1-16,-2-3-3 0,5 0 10 0,-12-6 0 0,5 0 3 15,0 0-5-15,0 5-14 0,10 12 22 0,-10-7-21 16,0 1 20-16,0 5-30 0,0-1 7 0,-3 1 9 16,8 10-5-16,-4-7 10 0,-1 3-3 0,0 6 2 15,-1-4 0-15,-4 4 20 0,3-3-11 0,-3 0 7 16,3-3-10-16,-5-1-9 0,6-2 2 0,1-1-11 16,-5-3 7-16,5-1-22 0,-4-1-32 0,4-3-38 15,0 0 5-15,0-4-94 0,-3-4 17 0,3 4-68 0,-2-6 8 16,0-4 236-16</inkml:trace>
</inkml:ink>
</file>

<file path=xl/ink/ink30.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84"/>
    </inkml:context>
    <inkml:brush xml:id="br0">
      <inkml:brushProperty name="width" value="0.05153" units="cm"/>
      <inkml:brushProperty name="height" value="0.05153" units="cm"/>
    </inkml:brush>
  </inkml:definitions>
  <inkml:trace contextRef="#ctx0" brushRef="#br0">10663 82 59 0,'-2'0'124'0,"2"-2"-49"16,11 0-14-16,-5 0-11 0,-1-2-51 0,2 0 1 15,-5-1-5-15,3 1 3 0,-5 1 1 0,0-2 2 0,-5 2 10 16,8-1-7-16,-1 1-1 0,-2-1 29 0,0 0-11 15,-2 0 18-15,-1 1-7 0,3-1-9 0,3 0 15 16,-1 0-12-16,4 2 10 0,-6-1 2 0,-5 2-10 16,4-1 9-16,-1 0-6 0,-1 0-3 0,9 0 2 0,-4 2-3 15,-7 0-4-15,5 1 6 0,-3 0 5 0,1-1 1 16,7-1 15-16,-5 1-11 0,0 0-2 0,0 0-2 16,2 0-13-16,-7 0-8 0,11 0-2 15,-6 0-1-15,0 0 0 0,0 0-10 0,1 0 3 0,0 1-4 16,-4-1 0-16,1 0 11 0,2 0-6 0,-5 0 10 15,10 2 1-15,-5-1-4 0,-10 0 3 0,-3-1-6 16,4 1-7-16,4 3 12 0,3-2-6 0,7 3 8 16,-12-2-9-16,3 1-1 0,0-1-1 0,-4 2 1 15,1-2 4-15,4 4-9 0,-2 0-2 0,-4-1-2 16,1 1 15-16,-2-1 2 0,-4-3 8 0,4 0-9 0,-2 1-10 16,4 4 18-16,1-2-8 0,2 3 11 15,-5 2-5-15,-5-6-7 0,5 4-1 0,-5-6-3 0,6 1-9 16,-5 0 0-16,1-4 1 0,4 7 0 0,-2-3 11 15,2 4-8-15,-2 1 4 0,-1 1-6 0,0-6-1 16,-2 2 10-16,1 0 1 0,0 2 4 0,-3-3-6 0,0-1-5 16,-1 1-2-16,0-2 0 0,7 8-1 0,1-3 7 15,-4-4-2-15,1 0 3 0,-3-1-6 0,0 0 3 16,3 3-6-16,-6-2 5 0,1 0-13 0,3-2 13 16,-4 2 1-16,4-1 5 0,4 0-6 0,-8 1-1 15,7 0-2-15,-2 0 2 0,-4 2-8 0,9-2 6 16,-6-2-3-16,4 4 4 0,-5-5 1 0,-4-1-3 15,6 3 0-15,-5-7-1 0,7 4 0 0,3 1-1 16,-2-1-3-16,3 3 0 0,-1 2 4 0,-4-5 3 16,2 4 1-16,-2-2-2 0,-1-3 7 0,4 2-13 15,-6-2 4-15,1 0-9 0,1 3 9 0,4 0-3 16,-2 1 8-16,4-2-8 0,-5-1-4 0,4 2 13 0,-4 2-10 16,2-2 13-16,-2 0-9 0,-1-1-2 0,-2 2 2 15,-1-3-2-15,1 3-4 0,1-2 8 0,10 2-4 16,-5 1 5-16,-4-3 1 0,-8 2-4 0,0 0 2 15,5 0-2-15,3 1 5 0,6 1-10 0,-8-3 4 16,-4 1-6-16,-1-1 13 0,-2 0 2 0,4 2-14 0,3 0 6 16,-1 0-20-16,3-1 20 0,-5 0 2 0,1-2 3 15,0 2 1-15,-2 1-5 0,1 0-5 0,2 1 2 16,-2 0 16-16,1-2-14 0,-3 1 18 0,3 0-20 16,-4 1 8-16,3 0 0 0,-5-1 3 0,-1 0-2 15,16 2-4-15,-6-2 3 0,1 2-2 0,-5 0 4 16,-9-3-1-16,3 4-4 0,-3-2 3 0,7 0-1 15,0 2 5-15,2 0-2 0,0-1-3 0,3 0 3 16,-5-2-1-16,6 0 6 0,-1 1 3 0,0 0 1 16,-2 2 1-16,-3-1 1 0,3 0-5 0,-1 1 3 0,-1-1-7 15,2-2 1-15,2-2 2 0,1 3-1 16,-4-3 2-16,-1 3-7 0,-1-2 4 0,-5-2-4 0,10 6 2 16,-5-4 1-16,-1 0-1 0,6 3 4 0,-7-8 6 15,4 3-4-15,2 0 1 0,-4 1-1 0,2 2-8 16,1-3-11-16,-5-1 6 0,2 0-6 0,1 2 18 0,2 1-9 15,-3 6 0-15,-2-9-1 0,-3-1 3 0,0 1-9 16,1-4 2-16,-1 4-4 0,10 1 10 0,-7-3-6 16,0 2 0-16,4-2-3 0,-9 6 4 0,5 0-1 15,-2-4 0-15,-8 2-1 0,3-2 2 0,-6 1-1 16,3 4 3-16,4-5-3 0,-3 0 1 0,4 0 1 16,0 3 0-16,-6 0 0 0,-3-3 3 0,4-1-5 15,0-3 6-15,3 5-5 0,2-1 7 0,-8 1-9 16,-2-3-1-16,0 1 0 0,2 0 12 0,-4 1-4 15,4 1 3-15,-3-2-3 0,-2 2 0 0,0-1-5 16,-2-2 3-16,-1 1-1 0,6-2 6 0,-8 2-2 16,-4-5 0-16,2 6 0 0,-2 0-3 0,0-2-3 15,3 3-1-15,-4 1 0 0,-4-2 3 0,5-1-2 0,-3 6 4 16,-5-5-4-16,8 0 4 0,-7 1-6 0,1-1 1 16,9 4-2-16,-4-2 10 0,6 2-6 0,-6-2 3 15,4 0-4-15,1 0 1 0,3-1-2 0,1 2 0 16,-3-3 0-16,2 7 0 0,2 3 3 0,-1-9-2 15,2-1 2-15,1 0 0 0,-4-3-3 0,-2 11 7 0,5-3-6 16,2-1 1-16,-5-4-2 0,0 0 7 0,-14 3-3 16,-6-3 5-16,-4 3-11 0,0-2-10 0,4-1 6 15,0 5 10-15,10 2 9 0,3-4-3 0,10 3 2 16,0-1-16-16,-3 0-3 0,0-4 0 0,-5-5-1 16,3 1 5-16,-3-1 0 0,-2 7 3 0,7 6-2 15,-5-6 1-15,6-3 0 0,13 5-6 0,-12-6 6 16,4 2 4-16,-8-1-8 0,-3-6 6 0,5 3-8 15,0-3 1-15,3 6 5 0,-3-2-3 0,-2 2 4 16,4 0 0-16,-4-4-5 0,2 3 4 0,1-6-3 16,-1 2 7-16,2 2-2 0,4-3 0 0,-2 5-1 0,2-5 0 15,1 0 2-15,-2 0-1 0,-2 2 1 0,2 5-2 16,-5-3 1-16,1-3-6 0,-1-1 3 0,2 0-15 16,-2 3 12-16,-2 3 2 0,-3-3 3 0,-2 0 5 15,2 0-8-15,0-1 4 0,3-2-6 0,-5 3 5 16,7-2 1-16,2 4-1 0,-1 1 2 0,-3-2-1 0,-3-2-2 15,7 1 0-15,1-1-1 0,7 4-1 0,0 0 2 16,-3 0-1-16,-1-3 1 0,1 1 1 0,-3 1-6 16,3 1 5-16,0 3-5 0,-6-3 7 0,3 0-3 15,-2-4 2-15,0 2-1 0,2 3 10 0,-2 0-11 16,0 4 2-16,2-5-5 0,-2 1 7 0,2 2-1 16,-4-3 1-16,4 2-1 0,3-4 0 0,4-1-7 15,2 2 6-15,4 3-6 0,-10-3 13 0,4 4-17 16,-1-3 2-16,-5-7-7 0,7 6 7 0,-5-6 6 15,-3 5-3-15,5 4 5 0,-8-4 0 0,4 1-1 16,4 2 4-16,-3-4-3 0,1 5 0 0,-8-3-29 16,5 1 10-16,-2 0-13 0,4 0 26 0,8 2 4 15,-8-3 0-15,6 0 1 0,0 1 1 0,-1 0 2 0,-3-4-1 16,6 4 3-16,-1-1-4 0,2-1 0 0,5 1-1 16,-1-1 1-16,-3 2-1 0,6 0-4 0,-7 2 7 15,-4-2-5-15,0 1 6 0,-7-1-6 0,7-1 2 16,-1-1-3-16,5-2 2 0,2 1-1 0,-2 3-2 15,2-2 2-15,1 4 3 0,-1-3 0 0,-4 1 0 16,-1-3-1-16,4 2 2 0,0-1 0 0,8 1-3 0,-5 0 2 16,-1 0-2-16,-1 1-3 0,-3 0 5 0,4 1-5 15,2 3 5-15,-1-2-1 0,3 0-1 0,2-1 0 16,0-1 6-16,3 3-6 0,1 0 2 0,-1-2-4 16,-3 1 4-16,1-2 10 0,0 0-10 0,5 0 7 15,-4 2-9-15,2-1-2 0,-3 0 10 0,2 3-7 16,-6-8 2-16,3 4 0 0,5 4-2 0,-5-5 1 15,9 6 7-15,-8-5-10 0,5-1 2 0,-1 2-4 16,4 2 6-16,1 1-5 0,-9-1 7 0,7 1-7 16,-4-3-4-16,3 1-7 0,11-1-12 0,-7 2 4 0,3-2-28 15,-7-1-63-15,2 3-27 0,0-3-16 0,-2-4-106 16</inkml:trace>
</inkml:ink>
</file>

<file path=xl/ink/ink31.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85"/>
    </inkml:context>
    <inkml:brush xml:id="br0">
      <inkml:brushProperty name="width" value="0.05153" units="cm"/>
      <inkml:brushProperty name="height" value="0.05153" units="cm"/>
    </inkml:brush>
  </inkml:definitions>
  <inkml:trace contextRef="#ctx0" brushRef="#br0">11552 6225 220 0,'0'0'-92'0,"0"-4"37"0,0 2 44 15,3 0 4-15,2-2 1 0,-3 3-2 0,3-1 10 16,-5-3-10-16,3 1-9 0,-3-2 17 0,4-1-12 0,4 0 14 16,-5 5-4-16,1-4-1 0,-1 0 4 0</inkml:trace>
</inkml:ink>
</file>

<file path=xl/ink/ink32.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86"/>
    </inkml:context>
    <inkml:brush xml:id="br0">
      <inkml:brushProperty name="width" value="0.05153" units="cm"/>
      <inkml:brushProperty name="height" value="0.05153" units="cm"/>
    </inkml:brush>
  </inkml:definitions>
  <inkml:trace contextRef="#ctx0" brushRef="#br0">579 0 573 0,'0'7'125'0,"2"1"-54"15,1-6 0-15,-3-2-14 0,2 1-11 0,-2-3-7 0,0 4-13 16,0 0 9-16,0-5 1 0,-2 2 11 0,2 1 12 16,0 0-4-16,2 4-3 0,-2 1 2 0,0-3-9 15,-2 1 10-15,-1 2-2 0,3-1-13 0,-4 4 4 16,1 1-7-16,1-4-5 0,-3 2-15 0,0 1-3 15,-3 1-3-15,-4 0-4 0,0 2-8 0,-6 1 3 0,-4 1-3 16,3 1 5-16,-1-2-4 0,2 5 3 0,8-2-2 16,-7 1 0-16,0 1-1 0,-3 1-1 0,-5 0 0 15,10 1-1-15,-7-3 0 0,2 0 2 0,1 0 0 16,-3 1 1-16,2-4-12 0,2 4 1 0,-1-1-3 16,-1-1 8-16,3 2-3 0,-1 1 0 0,-2-4-1 15,4-2 4-15,1-1 2 0,-1-4 1 0,5 0 1 16,-2 1 1-16,0-1 0 0,3 0-1 0,3-2 1 15,0-5 0-15,4 0-5 0,0-1-4 0,12 2 0 0,-9 1 1 16,2-1-10-16,-2 1 0 0,-11-5-4 16,11 4 6-16,3 1 12 0,-1-5 5 0,6 3 0 0,2 1 4 15,0-1 2-15,4 1-8 0,-1-1 5 0,-1-4 2 16,1 1-5-16,1 2 13 0,4 0-12 0,2 1 4 16,-1-1-4-16,1 1-3 0,0 0 2 0,-2 1-1 15,4 1-1-15,4 1 3 0,-6-4-2 0,5 1-1 16,-1 0 4-16,-8-3-11 0,11 9 9 0,-5-5-1 0,-2-1 0 15,10 4 14-15,-9-4-9 0,2 2 8 0,1 1 1 16,-6-4-7-16,2 0 5 0,-5 1 3 0,-1 1-7 16,1 1 6-16,-2 4-8 0,1-4-3 0,-2 1 2 15,-1 0-3-15,-2-2 4 0,-3-1-6 0,-1 0-9 16,-1 0-6-16,-1 1 1 0,1 1-12 0,-2-1-40 16,-1-1-10-16,-1-5-10 0,1 5-25 0,-1-7-102 15,-2-3 135-15</inkml:trace>
</inkml:ink>
</file>

<file path=xl/ink/ink33.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6T23:03:22.288"/>
    </inkml:context>
    <inkml:brush xml:id="br0">
      <inkml:brushProperty name="width" value="0.29444" units="cm"/>
      <inkml:brushProperty name="height" value="0.58889" units="cm"/>
      <inkml:brushProperty name="color" value="#00FF00"/>
      <inkml:brushProperty name="tip" value="rectangle"/>
      <inkml:brushProperty name="rasterOp" value="maskPen"/>
    </inkml:brush>
  </inkml:definitions>
  <inkml:trace contextRef="#ctx0" brushRef="#br0">73 68 1 0,'0'0'5'16,"1"1"3"-16,5-1 6 0,-6 0-4 0,7 0-9 0,-10 0 30 16,-1-1-16-16,4-2 21 0,-7 1-10 0,11-1 15 15,-4-1 8-15,-3-1 0 0,4 1-4 0,1-1 8 16,-2-1-5-16,0 3 8 0,0-2 0 0,-8 0-10 15,11 2 1-15,-2 0-4 0,-1 2-5 0,0 0-3 16,0 0-1-16,-1-3 0 0,4 2 1 0,-3 2-33 16,0-1 22-16,-6 0-23 0,-3-1 27 0,9 2 9 15,-5-2-31-15,5 2 24 0,3 0-28 0,1-1 14 16,-6 1 11-16,-3 0-6 0,-2 0-3 0,-1 0 4 16,8 0-3-16,0 0 4 0,-2-1 1 0,2 1 0 15,0 0 8-15,0 0-6 0,2 0-3 0,-9 0-8 16,7 1-3-16,0-1 3 0,-6 1 10 0,12-1-14 15,-8 0 11-15,-1 1-12 0,-3-1 6 0,4 1 2 16,2-1-9-16,-2 0 9 0,4 2-11 0,0-1 2 0,-2-1 3 16,3 1-1-16,-8 1 3 0,0 0-10 0,3 0 2 15,0 0-4-15,-1 2 7 0,1 0-6 0,4 0 5 16,-2 2-6-16,3-2-6 0,-1 4 8 0,-9 0-11 16,7-2 11-16,-5-1-8 0,4 0-2 0,5-1 5 15,-4-2-4-15,9 0 4 0,-7 3-7 0,1 1 6 0,-1-3-6 16,-2-1 13-16,0 0-7 0,0-3 10 0,0 1-8 15,0 0 10-15,2 0-1 0,1 2-5 0,-3-1 6 16,0 2-1-16,-3-1-3 0,-4-2 1 0,10 2 0 16,1 0-2-16,-4-1 5 0,6 5-10 0,-6-6 8 15,5 1-6-15,-3 1-1 0,-11-3 10 0,3 1-7 16,4 1 13-16,11-1-12 0,2 1-2 0,-2 2-3 16,-7-1 1-16,-3-1 4 0,8 1 1 0,0-2-1 15,-7 0-11-15,3 0 8 0,5 0-3 0,-4 3 6 16,8 0-1-16,1 0-4 0,-4-2 8 0,4 0-6 15,-6-2 8-15,-2 1-7 0,3 0-3 0,4 1 1 16,-3-1 6-16,2 0-3 0,1 0 9 0,-2-3-8 16,0 4 15-16,0 0-20 0,2-1 11 0,-1 2-11 0,0-4 17 15,2 2-2-15,-1-5-6 0,1 2 4 0,1 0-4 16,-4-4 1-16,3 6-3 0,-1 0 2 16,1-1-8-16,1 0-1 0,-1 0 2 0,-1-1-2 0,-4 0 2 15,1-1 0-15,3 4 0 0,-1-3 0 0,0 0-2 16,2-1 0-16,-6-2-2 0,6 5 2 0,-8 1 7 15,4-1-9-15,-1 1 9 0,-3 1-9 0,7-1 7 16,-4 0-8-16,-1 0-3 0,1-3 0 0,-3 3 15 0,9-3-9 16,-8 3 9-16,3 1-10 0,-2-3 2 0,0 2-1 15,6 0-1-15,5-1 1 0,-2 1 11 0,-3 0-6 16,0 0 6-16,-3 1-7 0,0 3 1 0,2-4 1 16,0 1-3-16,-4 0 3 0,1 0-3 0,2 3-4 15,-4-2 5-15,5-1-4 0,0-1 11 0,-2 0-11 16,0-1 3-16,1 1-4 0,-2 0-4 0,1 0 9 15,-3 0-4-15,-1 0 8 0,1 0-3 0,0-1-4 16,1 1 2-16,1 1-2 0,4-1 3 0,-3 2-3 16,1-2 1-16,0 1-1 0,-2-1 4 0,2 0-5 15,-2 2-1-15,-1 0 0 0,2 0 7 0,-3 0-6 16,-1 0 3-16,1-2-3 0,4 0 7 0,-2 1-10 16,0-1 2-16,-1 0-5 0,4 1 9 0,-1-1-4 15,-2 0-3-15,5 1 0 0,-3 1 5 0,-2-2 2 0,6 1 2 16,-2 0-1-16,-1-1-2 0,5 3-4 0,-5 0 2 15,1-3-1-15,0 1 6 0,1-2-5 0,-1 4 2 16,-1-4-2-16,1 1 2 0,-2 0-3 0,2-6-1 16,1 7-1-16,2 1 10 0,-2-4-7 0,3 1 6 15,-1 1-6-15,1-2 3 0,0 2-4 0,-2 0-3 16,-5 2 0-16,2-1 7 0,1 1-6 0,3 1 9 0,0-3-8 16,1 0 6-16,0 2-1 0,-2-2-3 0,3 2 0 15,-4 2-2-15,6-1 3 0,-5-3-1 0,-1 0 1 16,4-2 1-16,-3 1-2 0,9 4 3 0,-6-2-3 15,1-1-3-15,1 0 3 0,-5 0 0 0,5 1 3 16,-2-1 2-16,-4 0-5 0,1-1 3 0,-3 1-3 16,3-1 2-16,-2-1 2 0,1 2-2 0,-1-1 1 15,1 1-3-15,1 1 0 0,-2-1 2 0,1-1 0 16,-1-2-3-16,-1-2-1 0,-2 4 1 0,6 1 1 16,-5 1-7-16,-1 0 12 0,3 2-3 0,-6-3 8 0,8 0-10 15,-6 2 0-15,2-3-2 0,3 3 2 0,-4-3 0 16,4 0-3-16,2 1 2 0,1 3-1 0,-1 0 5 15,-5-3-4-15,12 0 0 0,-10-4-2 0,9 5 7 16,-1 2-4-16,-8-3 1 0,3 0-1 0,2 0 2 0,-3 0 0 16,0-2 0-16,-1 1-1 0,4-1-3 0,-3 2 12 15,5 0-13-15,-1-5 11 0,-4 4-17 0,1-2 3 16,-5-3 6-16,4 5-1 0,-3-1 0 0,-1 0-1 16,3 2 3-16,1-1-1 0,3-1 4 0,0 2-6 15,-5-3 3-15,0 3-2 0,-1 0 3 0,-3-1-3 16,0 0-1-16,6 0 1 0,-3 1 9 0,3 0-10 15,5 0 2-15,-4-2-4 0,-5 1 7 0,6 0-4 16,0 0 0-16,-2 0-2 0,5 0 4 0,-4-1-2 16,-3 0 2-16,3 1-2 0,-2-3 1 0,-1 3 0 15,3 0 2-15,-1-1-1 0,3 1 5 0,-3 1-11 16,4-3 5-16,-2 4-8 0,-4-1-14 0,4 0 34 0,-2 0-15 16,0-1 22-16,-1 1-17 0,4 0-3 0,-3 0 1 15,2 0-3-15,6 3-4 0,-6-3 8 0,0 0-2 16,1 0 4-16,-2 0 2 0,9 0-5 0,-1-2 0 15,5 1-1-15,-5 0 0 0,3 1 1 0,-7-1 2 16,2 1 0-16,-2 0-4 0,3 1 2 0,-1-1-5 16,-1 0 5-16,-1 0-2 0,2 1 3 0,1 0 2 0,-6 1 0 15,1-1 3-15,-9-2-3 0,4 2-2 0,4 1 0 16,0 0-10-16,3 2 11 0,-7-2 1 0,1 2 3 16,-9-3-2-16,5 2-5 0,8 3 1 0,-2-2-1 15,2-1 4-15,-5 0 0 0,-8-3-2 0,-1-1 2 16,6 1-1-16,5 0-4 0,-2 3 2 0,6 1-3 15,-7-2 3-15,0-1 1 0,3 1-1 0,-4 0 2 16,3-1-3-16,-1 1 0 0,1-1-1 0,1 2 2 16,1-3 2-16,0 1 2 0,2 0-4 0,-1 3 2 15,0-2-5-15,-2-1 0 0,0 1 7 0,-1-3-4 0,-1-1 1 16,2 2-1-16,-3 0-5 0,3 1 4 16,2 5 0-16,-2-5 3 0,5 4 0 0,-11-5 2 0,9 2 0 15,-3-1-10-15,-3-1 6 0,13 4-7 0,-13-7 7 16,4 1 12-16,5 2-14 0,-1 0 10 0,2 2-19 0,-2 0 7 15,-2-2 5-15,-4 0-1 0,1 0 1 0,3-4-4 16,-1 4 0-16,2 0 0 0,-1 0 9 0,-1 0-7 16,3 1 4-16,-6-4-5 0,4 2 2 0,-1 1 2 15,-4-4-2-15,6 6 2 0,7 5-1 0,-10-7-2 16,2 0 2-16,-1-1-2 0,-14-7 4 0,9 7-2 16,0 0-2-16,-5 1 1 0,9 0 7 0,-1-1-8 15,-3-1 4-15,5 1-6 0,-3-2 0 0,-3 2 2 16,3 1 0-16,-8-5 0 0,6 5-8 0,1-1 11 15,1-1-8-15,3 6 8 0,-9-6-8 0,2 2-10 16,-1 0-3-16,-4-4-2 0,5 6 3 0,0-4-23 0,-2 1-2 16,4 0-12-16,1-4-20 0,-2-1-67 15,0 0-84-15,1-2-10 0,-3-7-377 0</inkml:trace>
</inkml:ink>
</file>

<file path=xl/ink/ink34.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7T23:51:48.183"/>
    </inkml:context>
    <inkml:brush xml:id="br0">
      <inkml:brushProperty name="width" value="0.05153" units="cm"/>
      <inkml:brushProperty name="height" value="0.05153" units="cm"/>
      <inkml:brushProperty name="color" value="#ED1C24"/>
    </inkml:brush>
  </inkml:definitions>
  <inkml:trace contextRef="#ctx0" brushRef="#br0">164 3 145 0,'-3'-3'158'16,"1"3"2"-16,-3 0 2 15,5 3-21-15,0 2-50 16,0-5-16-16,0 1-18 15,0 1-10-15,0-2-10 16,2 3 1-16,-2 4 3 0,0-6-2 16,0 8-1-16,3 1-3 15,2 2-12-15,5 6-4 16,4-2-8-16,0 2-2 16,-6 6-5-16,-6-2-1 15,10 1-1-15,-2 2 0 16,8 2-1-16,-1 2-1 15,-10 0-3-15,4 4 0 16,5 5 9-16,-5 1 0 0,-14-9-6 16,3 5 1-16,3 2-1 15,-2-3 2-15,0-1 1 16,1-1-6-16,2 2-2 16,1-1 5-16,-4-2 0 15,-4 0 0-15,6 0 0 16,5 3 1-16,-6-5-1 15,-2 1 0-15,1 3 1 16,1-2-1-16,-1 0 0 16,-5 2 1-16,4-4-1 15,0-2 0-15,-10-2 0 16,5-6 1-16,-3 5 0 16,-1 0 0-16,2 1-1 15,-7-1 2-15,-8-4 0 16,11 5 0-16,-12-3 0 0,-1-4 0 15,-1 4-2-15,10-6 1 16,4 0-1-16,-6-2 1 16,6-2-1-16,3-2 0 15,1-4 0-15,7-4-1 16,-3-1-12-16,3 0-8 16,-2-1-15-16,2 0 1 15,-7-5 18-15,7-5 5 16,0-6 8-16,3 1 0 0,1-1 2 15,-2 1 0-15,-2 5 2 16,3 4 2-16,-3 6 4 16,0 0 3-16,0 0 7 15,0-2 10-15,-3 3 7 16,3-1-11-16,-10 4-21 16,4 4 0-16,-2 1 5 15,0 1 2-15,-1 4-5 16,2 2-2-16,-1 3 0 15,-2 0 0-15,1 1-1 16,4-4 1-16,-3 2-1 16,1-2 0-16,3-2 0 15,1-2 0-15,1-3 0 16,-2 0-1-16,4-4 0 0,0-1 0 16,0-4-1-16,1 0 0 15,-1 0 0-15,3 0 0 16,4 0 3-16,1 0 1 15,6-5 3-15,1-3 4 16,2 1 7-16,2 0-3 16,5-1-12-16,5-6-1 15,14-8-249-15</inkml:trace>
</inkml:ink>
</file>

<file path=xl/ink/ink35.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7T23:51:48.184"/>
    </inkml:context>
    <inkml:brush xml:id="br0">
      <inkml:brushProperty name="width" value="0.05153" units="cm"/>
      <inkml:brushProperty name="height" value="0.05153" units="cm"/>
      <inkml:brushProperty name="color" value="#ED1C24"/>
    </inkml:brush>
  </inkml:definitions>
  <inkml:trace contextRef="#ctx0" brushRef="#br0">45 0 269 0,'2'1'114'0,"-2"-1"-150"16,5 2 25-16,-10-2 19 0,-1 0 33 15,10 0 108-15,-4-2 30 16,-3 1-18-16,6 2-33 16,-3-1-55-16,0 0-17 15,0 2-25-15,-12 3-7 16,7-1-6-16,5 4-5 16,-2 4 0-16,-2 4 12 0,9 5 26 15,4 2-4-15,7 1-21 16,-3 3-4-16,8 5-5 15,-2-3 1-15,4 5 11 16,4-3 2-16,-10 1-12 16,4 5-7-16,4 4-7 15,-4-2-1-15,-3 4-2 16,-6-3-2-16,3-6 1 16,2 4-1-16,-2-2 1 15,-3-1 1-15,-7 4-3 16,2-2 0-16,-4 7 0 15,-3 4-2-15,0 7-10 16,-4-6-3-16,-18-17 10 16,10 10 3-16,5 12-1 15,-6-10 0-15,-3-9-3 0,4-6 0 16,-8 1-5-16,-2-2 3 16,0 0 5-16,7 2-4 15,1-3-5-15,1-3 2 16,-7 1 0-16,4 0 3 15,5-3 8-15,-4-5-2 16,3-3-2-16,0 0 0 16,9-6-8-16,-5-4-13 0,8-4-32 15,0-2-13-15,0 2-2 16,-16-5 8-16,9-14 31 16,3-1 7-16,1-5-28 15,-3-5-9-15,-3 2 13 16,4 4 20-16,4 14 31 15,-1 1 3-15,1 6 1 16,1 1 12-16,0 4 23 16,3-2-3-16,-2 1 0 15,0 3 10-15,0 7 6 16,1 2-13-16,2 1-21 16,-7 5-7-16,3 2-5 15,9 0-1-15,-9-3-3 16,-9 2 0-16,10-7-2 15,8 1-2-15,5-8 2 16,8 0 9-16,5-7 22 0,-2-6-1 16,13-7-15-16,8-1-5 15,-3-3-5-15,3 3-3 16,2-3-5-16,3-4-22 16,-1-3-269-16</inkml:trace>
</inkml:ink>
</file>

<file path=xl/ink/ink36.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7T23:51:48.185"/>
    </inkml:context>
    <inkml:brush xml:id="br0">
      <inkml:brushProperty name="width" value="0.05153" units="cm"/>
      <inkml:brushProperty name="height" value="0.05153" units="cm"/>
      <inkml:brushProperty name="color" value="#ED1C24"/>
    </inkml:brush>
  </inkml:definitions>
  <inkml:trace contextRef="#ctx0" brushRef="#br0">1182 71 544 0,'-10'2'76'16,"-2"0"-24"-16,0-5-35 0,-7-2-10 15,6-1 0-15,1 3 12 16,1 3 28-16,1-1 4 15,-5-4-10-15,0 0-6 16,-5 5-8-16,-1 0-2 16,0-1-2-16,-2-2 2 15,-4 0 10-15,1 0 6 16,1-1 7-16,1 1-4 0,-8 1-21 16,-2-6-9-16,-4 4-11 15,-2 4-2-15,-6-2-2 16,-7 2 0-16,5 0 0 15,6 0-1-15,-8-4 1 16,1-1 1-16,6 2 2 16,0 2 1-16,11 0 1 15,2 3-2-15,-3 5-2 16,-7-4 0-16,13 3-3 16,1 0-10-16,-12 5-20 15,5 1 0-15,6 3 16 16,8-2 6-16,4-4 1 15,4 2-9-15,3 1-34 16,-1 1-9-16,13 7 7 16,-4-3 10-16,10 5 22 0,7 2 8 15,5 2 5-15,4-2 1 16,8-4 4-16,9-1 3 16,-4-7 1-16,9-5 0 15,7-3 1-15,0 0 0 16,11 0 1-16,-4-1-1 15,3 6 0-15,-9-1 0 16,-1 0 0-16,-4 3-1 0,1 2 1 16,7-6 0-16,-10-3 1 15,6 1 0-15,1-5-1 16,-1 0 0-16,0 3 0 16,-10-1 0-16,0-4 0 15,2 2 2-15,-13-3 1 16,-2 3 22-16,-2-5 25 15,0 0-11-15,-4-5-6 16,-6-7-4-16,-4 1-7 16,-2 2 11-16,-9 1 15 15,-3 2-2-15,-7-1-1 16,-4-2-3-16,-11-5-20 16,-7-1-10-16,-10-7-10 15,-3 2-5-15,1-4-32 16,-8-10-21-16,-6-3-79 0,-1 2-90 15</inkml:trace>
</inkml:ink>
</file>

<file path=xl/ink/ink37.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7T23:51:48.186"/>
    </inkml:context>
    <inkml:brush xml:id="br0">
      <inkml:brushProperty name="width" value="0.05153" units="cm"/>
      <inkml:brushProperty name="height" value="0.05153" units="cm"/>
      <inkml:brushProperty name="color" value="#ED1C24"/>
    </inkml:brush>
  </inkml:definitions>
  <inkml:trace contextRef="#ctx0" brushRef="#br0">99 0 660 0,'0'0'378'15,"2"1"-335"-15,-2 1-53 16,0 0 7-16,0 1-9 15,-3-3-7-15,2 0 11 16,1 0 11-16,0 0 19 16,0 0 10-16,0 0-15 15,0-2-16-15,0 1-3 0,0-1 2 16,0 2 1-16,0 0 3 16,0 0 7-16,0 0 11 15,0 0 26-15,0-2 9 16,0 2 6-16,-1-1 1 15,1 1-16-15,0 0-16 16,0 0-24-16,0 0-5 0,0 9-4 16,1 5 0-16,0 5 6 15,2 2 4-15,-2 0 7 16,3 2 6-16,5 10 5 16,3-1 0-16,11 6 1 15,1 1 3-15,-2 0-4 16,2 3-5-16,2 2-12 15,-5 2-4-15,-3-2-3 16,-3 1-1-16,-2-3-1 16,-5 0 1-16,-3-5-2 15,0 1 0-15,4-2 1 16,0 4 0-16,-9-5-1 16,-9-3 0-16,-3-1-1 15,6 0-3-15,-12 2-4 16,-2-3-1-16,6-8-3 15,-1-4-1-15,-2-5 3 0,3 0 1 16,1-4-2-16,-2 2 4 16,-1-1 7-16,-4 1-2 15,-1-2 0-15,4 1 0 16,3 1 1-16,4-1 0 16,3 0 1-16,-4-5 0 15,6 0 1-15,-4-1-2 0,4-3-8 16,5-1-9-16,3 0-19 15,-3 0-9-15,-3-1 4 16,6-1 19-16,-3-7 20 16,-5 1 1-16,4 2 2 15,4 2 0-15,-3 1 3 16,3 1 2-16,-3 2 10 16,0 0 11-16,0 0 27 15,-3 0 6-15,3 0-11 16,0 0-11-16,0 0-26 15,-2 0-6-15,-7 5-6 16,1 3-2-16,1 4 1 16,0 4 1-16,0 2 1 15,-1-1-1-15,2 3 1 16,3-3 0-16,-1-11-3 16,4 2-1-16,4-1 2 0,-4-6 0 15,-1-2 2-15,5 2 3 16,8 4 1-16,-1-2 0 15,1-10-2-15,7-2 0 16,-3 3 2-16,-2-3 0 16,-2 1-2-16,7 0-1 15,13 1-2-15,4 0 2 0,-5 7-1 16,1-1-4-16,0-4-127 16,-4 1-381-16</inkml:trace>
</inkml:ink>
</file>

<file path=xl/ink/ink38.xml><?xml version="1.0" encoding="utf-8"?>
<inkml:ink xmlns:inkml="http://www.w3.org/2003/InkML">
  <inkml:definitions>
    <inkml:context xml:id="ctx0">
      <inkml:inkSource xml:id="inkSrc0">
        <inkml:traceFormat>
          <inkml:channel name="X" type="integer" max="30165" units="cm"/>
          <inkml:channel name="Y" type="integer" max="18853" units="cm"/>
          <inkml:channel name="F" type="integer" max="4095" units="dev"/>
          <inkml:channel name="T" type="integer" max="2.14748E9" units="dev"/>
        </inkml:traceFormat>
        <inkml:channelProperties>
          <inkml:channelProperty channel="X" name="resolution" value="1000.16577" units="1/cm"/>
          <inkml:channelProperty channel="Y" name="resolution" value="1000.15918" units="1/cm"/>
          <inkml:channelProperty channel="F" name="resolution" value="0" units="1/dev"/>
          <inkml:channelProperty channel="T" name="resolution" value="1" units="1/dev"/>
        </inkml:channelProperties>
      </inkml:inkSource>
      <inkml:timestamp xml:id="ts0" timeString="2024-07-17T23:51:48.187"/>
    </inkml:context>
    <inkml:brush xml:id="br0">
      <inkml:brushProperty name="width" value="0.05153" units="cm"/>
      <inkml:brushProperty name="height" value="0.05153" units="cm"/>
      <inkml:brushProperty name="color" value="#ED1C24"/>
    </inkml:brush>
  </inkml:definitions>
  <inkml:trace contextRef="#ctx0" brushRef="#br0">1357 20 136 0,'-24'-9'92'16,"-1"6"-24"-16,-1 0 50 15,4-2 17-15,-12 5-55 16,-5 9-25-16,-2-8-30 0,-15 2-15 16,-6 5-15-16,3-6-1 15,-15 6 43-15,7 7 20 16,13-6-29-16,2-7-22 16,-8 2-11-16,-7-1 4 15,13 8 4-15,12 7-1 16,-14-5-2-16,-5 1-2 15,-1 5-2-15,3-3 5 0,5 2 12 16,4 1-3-16,14 0-6 16,-1-3-1-16,8 2-12 15,-2-1-10-15,12 0-34 16,14 1-22-16,13 6-12 16,-2-1 26-16,18 2 58 15,16 0 9-15,-1-1 3 16,1-1 0-16,10-10 0 15,14 7-4-15,3-8-4 16,9-3-1-16,3-3 0 16,-7-1 1-16,14-6 20 15,4 1 20-15,-11-1 10 16,5-7-9-16,7-7-3 16,-11-1-6-16,1-6-14 15,6-2 7-15,-17 2 18 0,-3-3 0 16,-9 6-8-16,-2 2 3 15,-23-1 8-15,-1 5 1 16,-12 2-3-16,-10-1-9 16,-8 3 5-16,-5-5 2 15,-26-14-52-15,-22-7-65 16,-28-10-358-16</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136"/>
  <sheetViews>
    <sheetView zoomScale="90" zoomScaleNormal="90" workbookViewId="0">
      <selection activeCell="U27" sqref="U27"/>
    </sheetView>
  </sheetViews>
  <sheetFormatPr defaultRowHeight="14.3" x14ac:dyDescent="0.25"/>
  <cols>
    <col min="1" max="1" width="3.125" customWidth="1"/>
    <col min="2" max="2" width="23" customWidth="1"/>
    <col min="3" max="3" width="9.875" customWidth="1"/>
    <col min="4" max="8" width="10.75" customWidth="1"/>
    <col min="9" max="9" width="12.75" customWidth="1"/>
    <col min="10" max="10" width="14.875" customWidth="1"/>
    <col min="11" max="11" width="10.875" customWidth="1"/>
    <col min="12" max="12" width="12.125" customWidth="1"/>
    <col min="13" max="13" width="15" customWidth="1"/>
    <col min="14" max="14" width="10.125" customWidth="1"/>
    <col min="15" max="15" width="10.125" bestFit="1" customWidth="1"/>
    <col min="16" max="16" width="15" customWidth="1"/>
    <col min="17" max="17" width="15.5" customWidth="1"/>
    <col min="18" max="18" width="10.125" bestFit="1" customWidth="1"/>
    <col min="19" max="19" width="9.125" customWidth="1"/>
    <col min="20" max="20" width="3.625" customWidth="1"/>
    <col min="21" max="21" width="5.875" customWidth="1"/>
  </cols>
  <sheetData>
    <row r="1" spans="1:21" ht="14.95" thickBot="1" x14ac:dyDescent="0.3">
      <c r="A1" s="123"/>
      <c r="B1" s="126" t="s">
        <v>187</v>
      </c>
      <c r="D1" s="127" t="s">
        <v>188</v>
      </c>
      <c r="R1" s="707" t="s">
        <v>189</v>
      </c>
      <c r="S1" s="707"/>
      <c r="T1" s="123"/>
    </row>
    <row r="2" spans="1:21" x14ac:dyDescent="0.25">
      <c r="A2" s="123"/>
      <c r="B2" s="128"/>
      <c r="C2" s="129"/>
      <c r="D2" s="130" t="s">
        <v>190</v>
      </c>
      <c r="E2" s="130" t="s">
        <v>191</v>
      </c>
      <c r="F2" s="130" t="s">
        <v>192</v>
      </c>
      <c r="G2" s="130" t="s">
        <v>193</v>
      </c>
      <c r="H2" s="131" t="s">
        <v>194</v>
      </c>
      <c r="I2" s="100"/>
      <c r="K2" s="132" t="s">
        <v>195</v>
      </c>
      <c r="L2" s="127" t="s">
        <v>196</v>
      </c>
      <c r="M2" s="127" t="s">
        <v>197</v>
      </c>
      <c r="Q2" s="127" t="s">
        <v>195</v>
      </c>
      <c r="R2" s="133" t="s">
        <v>198</v>
      </c>
      <c r="S2" s="133" t="s">
        <v>199</v>
      </c>
      <c r="T2" s="123"/>
    </row>
    <row r="3" spans="1:21" x14ac:dyDescent="0.25">
      <c r="A3" s="123"/>
      <c r="B3" s="708" t="s">
        <v>200</v>
      </c>
      <c r="C3" s="709"/>
      <c r="D3" s="134">
        <v>2000</v>
      </c>
      <c r="E3" s="134">
        <v>4000</v>
      </c>
      <c r="F3" s="134">
        <v>8000</v>
      </c>
      <c r="G3" s="134">
        <v>2000</v>
      </c>
      <c r="H3" s="135">
        <v>500</v>
      </c>
      <c r="I3" s="136"/>
      <c r="J3" s="132" t="s">
        <v>201</v>
      </c>
      <c r="K3" s="137">
        <v>0.2</v>
      </c>
      <c r="L3" s="101">
        <v>0.25</v>
      </c>
      <c r="M3">
        <f>3/4</f>
        <v>0.75</v>
      </c>
      <c r="P3" s="127" t="s">
        <v>202</v>
      </c>
      <c r="Q3" s="137">
        <v>0.8</v>
      </c>
      <c r="R3" s="122">
        <v>0.4</v>
      </c>
      <c r="S3" s="122">
        <v>0.6</v>
      </c>
      <c r="T3" s="123"/>
    </row>
    <row r="4" spans="1:21" ht="14.95" thickBot="1" x14ac:dyDescent="0.3">
      <c r="A4" s="123"/>
      <c r="B4" s="710" t="s">
        <v>203</v>
      </c>
      <c r="C4" s="711"/>
      <c r="D4" s="138">
        <v>30</v>
      </c>
      <c r="E4" s="138">
        <v>30</v>
      </c>
      <c r="F4" s="138">
        <v>27</v>
      </c>
      <c r="G4" s="138">
        <v>24</v>
      </c>
      <c r="H4" s="139"/>
      <c r="I4" s="74"/>
      <c r="M4" s="140">
        <v>1.4999999999999999E-2</v>
      </c>
      <c r="N4" s="127" t="s">
        <v>204</v>
      </c>
      <c r="O4" s="140">
        <f>1-M4</f>
        <v>0.98499999999999999</v>
      </c>
      <c r="T4" s="123"/>
    </row>
    <row r="5" spans="1:21" ht="39.1" customHeight="1" x14ac:dyDescent="0.25">
      <c r="A5" s="123"/>
      <c r="B5" s="712" t="s">
        <v>205</v>
      </c>
      <c r="C5" s="713"/>
      <c r="D5" s="713"/>
      <c r="E5" s="713"/>
      <c r="F5" s="713"/>
      <c r="G5" s="713"/>
      <c r="H5" s="713"/>
      <c r="I5" s="713"/>
      <c r="J5" s="713"/>
      <c r="K5" s="713"/>
      <c r="L5" s="713"/>
      <c r="M5" s="713"/>
      <c r="N5" s="713"/>
      <c r="O5" s="713"/>
      <c r="P5" s="713"/>
      <c r="Q5" s="713"/>
      <c r="R5" s="713"/>
      <c r="S5" s="714"/>
      <c r="T5" s="141"/>
      <c r="U5" s="142"/>
    </row>
    <row r="6" spans="1:21" x14ac:dyDescent="0.25">
      <c r="A6" s="123"/>
      <c r="B6" s="143" t="s">
        <v>206</v>
      </c>
      <c r="C6" s="144"/>
      <c r="D6" s="144"/>
      <c r="E6" s="144"/>
      <c r="F6" s="144"/>
      <c r="G6" s="144"/>
      <c r="H6" s="144"/>
      <c r="I6" s="144"/>
      <c r="J6" s="144"/>
      <c r="K6" s="144"/>
      <c r="L6" s="144"/>
      <c r="M6" s="144"/>
      <c r="N6" s="144"/>
      <c r="O6" s="144"/>
      <c r="P6" s="144"/>
      <c r="Q6" s="144"/>
      <c r="R6" s="144"/>
      <c r="S6" s="145"/>
      <c r="T6" s="146"/>
      <c r="U6" s="144"/>
    </row>
    <row r="7" spans="1:21" x14ac:dyDescent="0.25">
      <c r="A7" s="123"/>
      <c r="B7" s="143" t="s">
        <v>207</v>
      </c>
      <c r="C7" s="144"/>
      <c r="D7" s="144"/>
      <c r="E7" s="144"/>
      <c r="F7" s="144"/>
      <c r="G7" s="144"/>
      <c r="H7" s="144"/>
      <c r="I7" s="144"/>
      <c r="J7" s="144"/>
      <c r="K7" s="144"/>
      <c r="L7" s="144"/>
      <c r="M7" s="144"/>
      <c r="N7" s="144"/>
      <c r="O7" s="144" t="s">
        <v>208</v>
      </c>
      <c r="P7" s="144"/>
      <c r="Q7" s="144"/>
      <c r="R7" s="144"/>
      <c r="S7" s="147">
        <v>72000</v>
      </c>
      <c r="T7" s="146"/>
      <c r="U7" s="144"/>
    </row>
    <row r="8" spans="1:21" ht="14.95" thickBot="1" x14ac:dyDescent="0.3">
      <c r="A8" s="123"/>
      <c r="B8" s="148" t="s">
        <v>209</v>
      </c>
      <c r="C8" s="149"/>
      <c r="D8" s="149"/>
      <c r="E8" s="149"/>
      <c r="F8" s="149"/>
      <c r="G8" s="149"/>
      <c r="H8" s="149"/>
      <c r="I8" s="149"/>
      <c r="J8" s="149"/>
      <c r="K8" s="149"/>
      <c r="L8" s="149"/>
      <c r="M8" s="149"/>
      <c r="N8" s="149"/>
      <c r="O8" s="149"/>
      <c r="P8" s="149"/>
      <c r="Q8" s="149"/>
      <c r="R8" s="149"/>
      <c r="S8" s="150"/>
      <c r="T8" s="146"/>
      <c r="U8" s="144"/>
    </row>
    <row r="9" spans="1:21" ht="10.050000000000001" customHeight="1" thickBot="1" x14ac:dyDescent="0.3">
      <c r="A9" s="123"/>
      <c r="B9" s="123"/>
      <c r="C9" s="123"/>
      <c r="D9" s="123"/>
      <c r="E9" s="123"/>
      <c r="F9" s="123"/>
      <c r="G9" s="123"/>
      <c r="H9" s="123"/>
      <c r="I9" s="123"/>
      <c r="J9" s="123"/>
      <c r="K9" s="123"/>
      <c r="L9" s="123"/>
      <c r="M9" s="123"/>
      <c r="N9" s="123"/>
      <c r="O9" s="123"/>
      <c r="P9" s="123"/>
      <c r="Q9" s="123"/>
      <c r="R9" s="123"/>
      <c r="S9" s="123"/>
      <c r="T9" s="123"/>
    </row>
    <row r="10" spans="1:21" x14ac:dyDescent="0.25">
      <c r="A10" s="123"/>
      <c r="B10" s="151" t="s">
        <v>210</v>
      </c>
      <c r="C10" s="3"/>
      <c r="D10" s="3"/>
      <c r="E10" s="3"/>
      <c r="F10" s="3"/>
      <c r="G10" s="3"/>
      <c r="H10" s="3"/>
      <c r="I10" s="4"/>
      <c r="J10" s="123"/>
      <c r="K10" s="151" t="s">
        <v>211</v>
      </c>
      <c r="L10" s="3"/>
      <c r="M10" s="3"/>
      <c r="N10" s="3"/>
      <c r="O10" s="3"/>
      <c r="P10" s="3"/>
      <c r="Q10" s="3"/>
      <c r="R10" s="4"/>
      <c r="S10" s="123"/>
      <c r="T10" s="123"/>
    </row>
    <row r="11" spans="1:21" x14ac:dyDescent="0.25">
      <c r="A11" s="123"/>
      <c r="B11" s="5"/>
      <c r="C11" s="7"/>
      <c r="D11" s="7"/>
      <c r="E11" s="7"/>
      <c r="F11" s="7"/>
      <c r="G11" s="7"/>
      <c r="H11" s="7"/>
      <c r="I11" s="152"/>
      <c r="J11" s="123"/>
      <c r="K11" s="5"/>
      <c r="L11" s="7"/>
      <c r="M11" s="7"/>
      <c r="N11" s="7"/>
      <c r="O11" s="153" t="s">
        <v>190</v>
      </c>
      <c r="P11" s="153" t="s">
        <v>191</v>
      </c>
      <c r="Q11" s="153" t="s">
        <v>192</v>
      </c>
      <c r="R11" s="154" t="s">
        <v>193</v>
      </c>
      <c r="S11" s="123"/>
      <c r="T11" s="123"/>
    </row>
    <row r="12" spans="1:21" ht="14.95" thickBot="1" x14ac:dyDescent="0.3">
      <c r="A12" s="123"/>
      <c r="B12" s="5"/>
      <c r="C12" s="155" t="s">
        <v>212</v>
      </c>
      <c r="D12" s="155" t="s">
        <v>213</v>
      </c>
      <c r="E12" s="153" t="s">
        <v>190</v>
      </c>
      <c r="F12" s="153" t="s">
        <v>191</v>
      </c>
      <c r="G12" s="153" t="s">
        <v>192</v>
      </c>
      <c r="H12" s="153" t="s">
        <v>193</v>
      </c>
      <c r="I12" s="152" t="s">
        <v>194</v>
      </c>
      <c r="J12" s="123"/>
      <c r="K12" s="10" t="s">
        <v>214</v>
      </c>
      <c r="L12" s="12"/>
      <c r="M12" s="12"/>
      <c r="N12" s="12"/>
      <c r="O12" s="156">
        <f>S7</f>
        <v>72000</v>
      </c>
      <c r="P12" s="157">
        <f>E32</f>
        <v>144000</v>
      </c>
      <c r="Q12" s="157">
        <f>F32</f>
        <v>36000</v>
      </c>
      <c r="R12" s="158">
        <f>G32</f>
        <v>9000</v>
      </c>
      <c r="S12" s="123"/>
      <c r="T12" s="123"/>
    </row>
    <row r="13" spans="1:21" ht="14.95" thickBot="1" x14ac:dyDescent="0.3">
      <c r="A13" s="123"/>
      <c r="B13" s="5" t="s">
        <v>200</v>
      </c>
      <c r="C13" s="7"/>
      <c r="D13" s="7"/>
      <c r="E13" s="159">
        <f>D3</f>
        <v>2000</v>
      </c>
      <c r="F13" s="159">
        <f t="shared" ref="F13:I14" si="0">E3</f>
        <v>4000</v>
      </c>
      <c r="G13" s="159">
        <f t="shared" si="0"/>
        <v>8000</v>
      </c>
      <c r="H13" s="159">
        <f t="shared" si="0"/>
        <v>2000</v>
      </c>
      <c r="I13" s="160">
        <f t="shared" si="0"/>
        <v>500</v>
      </c>
      <c r="J13" s="123"/>
      <c r="K13" s="123"/>
      <c r="L13" s="123"/>
      <c r="M13" s="123"/>
      <c r="N13" s="123"/>
      <c r="O13" s="123"/>
      <c r="P13" s="123"/>
      <c r="Q13" s="123"/>
      <c r="R13" s="123"/>
      <c r="S13" s="123"/>
      <c r="T13" s="123"/>
    </row>
    <row r="14" spans="1:21" ht="27.55" customHeight="1" x14ac:dyDescent="0.25">
      <c r="A14" s="123"/>
      <c r="B14" s="5" t="s">
        <v>203</v>
      </c>
      <c r="C14" s="7"/>
      <c r="D14" s="7"/>
      <c r="E14" s="161">
        <f>D4</f>
        <v>30</v>
      </c>
      <c r="F14" s="161">
        <f t="shared" si="0"/>
        <v>30</v>
      </c>
      <c r="G14" s="161">
        <f t="shared" si="0"/>
        <v>27</v>
      </c>
      <c r="H14" s="161">
        <f t="shared" si="0"/>
        <v>24</v>
      </c>
      <c r="I14" s="35">
        <v>22</v>
      </c>
      <c r="J14" s="123"/>
      <c r="K14" s="715" t="s">
        <v>215</v>
      </c>
      <c r="L14" s="716"/>
      <c r="M14" s="716"/>
      <c r="N14" s="716"/>
      <c r="O14" s="716"/>
      <c r="P14" s="716"/>
      <c r="Q14" s="716"/>
      <c r="R14" s="717"/>
      <c r="S14" s="123"/>
      <c r="T14" s="123"/>
    </row>
    <row r="15" spans="1:21" ht="14.95" thickBot="1" x14ac:dyDescent="0.3">
      <c r="A15" s="123"/>
      <c r="B15" s="162" t="s">
        <v>216</v>
      </c>
      <c r="C15" s="17"/>
      <c r="D15" s="17"/>
      <c r="E15" s="163">
        <f>E13*E14</f>
        <v>60000</v>
      </c>
      <c r="F15" s="163">
        <f t="shared" ref="F15:H15" si="1">F13*F14</f>
        <v>120000</v>
      </c>
      <c r="G15" s="163">
        <f t="shared" si="1"/>
        <v>216000</v>
      </c>
      <c r="H15" s="163">
        <f t="shared" si="1"/>
        <v>48000</v>
      </c>
      <c r="I15" s="164">
        <f>I13*I14</f>
        <v>11000</v>
      </c>
      <c r="J15" s="123"/>
      <c r="K15" s="5"/>
      <c r="L15" s="7"/>
      <c r="M15" s="7"/>
      <c r="N15" s="165"/>
      <c r="O15" s="153" t="s">
        <v>190</v>
      </c>
      <c r="P15" s="153" t="s">
        <v>191</v>
      </c>
      <c r="Q15" s="153" t="s">
        <v>192</v>
      </c>
      <c r="R15" s="166" t="s">
        <v>217</v>
      </c>
      <c r="S15" s="123"/>
      <c r="T15" s="123"/>
    </row>
    <row r="16" spans="1:21" ht="14.95" thickBot="1" x14ac:dyDescent="0.3">
      <c r="A16" s="123"/>
      <c r="B16" s="123"/>
      <c r="C16" s="123"/>
      <c r="D16" s="123"/>
      <c r="E16" s="123"/>
      <c r="F16" s="123"/>
      <c r="G16" s="123"/>
      <c r="H16" s="123"/>
      <c r="I16" s="123"/>
      <c r="J16" s="123"/>
      <c r="K16" s="167" t="s">
        <v>218</v>
      </c>
      <c r="L16" s="7"/>
      <c r="M16" s="7"/>
      <c r="N16" s="165"/>
      <c r="O16" s="168">
        <v>200000</v>
      </c>
      <c r="P16" s="169">
        <f>O21</f>
        <v>144265</v>
      </c>
      <c r="Q16" s="169">
        <f>P21</f>
        <v>30795</v>
      </c>
      <c r="R16" s="170">
        <f>SUM(O16:Q16)</f>
        <v>375060</v>
      </c>
      <c r="S16" s="123"/>
      <c r="T16" s="123"/>
    </row>
    <row r="17" spans="1:20" x14ac:dyDescent="0.25">
      <c r="A17" s="123"/>
      <c r="B17" s="303" t="s">
        <v>219</v>
      </c>
      <c r="C17" s="304"/>
      <c r="D17" s="304"/>
      <c r="E17" s="304"/>
      <c r="F17" s="304"/>
      <c r="G17" s="304"/>
      <c r="H17" s="304"/>
      <c r="I17" s="305"/>
      <c r="J17" s="123"/>
      <c r="K17" s="167" t="s">
        <v>220</v>
      </c>
      <c r="L17" s="7"/>
      <c r="M17" s="7"/>
      <c r="N17" s="165"/>
      <c r="O17" s="171">
        <f>E24</f>
        <v>44265</v>
      </c>
      <c r="P17" s="171">
        <f>F24</f>
        <v>64530</v>
      </c>
      <c r="Q17" s="171">
        <f>G24</f>
        <v>109914</v>
      </c>
      <c r="R17" s="172">
        <f>SUM(O17:Q17)</f>
        <v>218709</v>
      </c>
      <c r="S17" s="123"/>
      <c r="T17" s="123"/>
    </row>
    <row r="18" spans="1:20" x14ac:dyDescent="0.25">
      <c r="A18" s="123"/>
      <c r="B18" s="125"/>
      <c r="C18" s="306" t="s">
        <v>212</v>
      </c>
      <c r="D18" s="306" t="s">
        <v>213</v>
      </c>
      <c r="E18" s="307" t="s">
        <v>190</v>
      </c>
      <c r="F18" s="307" t="s">
        <v>191</v>
      </c>
      <c r="G18" s="307" t="s">
        <v>192</v>
      </c>
      <c r="H18" s="308" t="s">
        <v>193</v>
      </c>
      <c r="I18" s="309" t="s">
        <v>194</v>
      </c>
      <c r="J18" s="173"/>
      <c r="K18" s="167" t="s">
        <v>221</v>
      </c>
      <c r="L18" s="7"/>
      <c r="M18" s="7"/>
      <c r="N18" s="165"/>
      <c r="O18" s="171">
        <f>O12</f>
        <v>72000</v>
      </c>
      <c r="P18" s="171">
        <f>P12</f>
        <v>144000</v>
      </c>
      <c r="Q18" s="171">
        <f>Q12</f>
        <v>36000</v>
      </c>
      <c r="R18" s="172">
        <f>SUM(O18:Q18)</f>
        <v>252000</v>
      </c>
      <c r="S18" s="123"/>
      <c r="T18" s="123"/>
    </row>
    <row r="19" spans="1:20" x14ac:dyDescent="0.25">
      <c r="A19" s="123"/>
      <c r="B19" s="310" t="s">
        <v>216</v>
      </c>
      <c r="C19" s="301"/>
      <c r="D19" s="301"/>
      <c r="E19" s="301">
        <f>E15</f>
        <v>60000</v>
      </c>
      <c r="F19" s="301">
        <f t="shared" ref="F19:I19" si="2">F15</f>
        <v>120000</v>
      </c>
      <c r="G19" s="301">
        <f t="shared" si="2"/>
        <v>216000</v>
      </c>
      <c r="H19" s="301">
        <f t="shared" si="2"/>
        <v>48000</v>
      </c>
      <c r="I19" s="311">
        <f t="shared" si="2"/>
        <v>11000</v>
      </c>
      <c r="J19" s="175"/>
      <c r="K19" s="176" t="s">
        <v>222</v>
      </c>
      <c r="M19" s="122">
        <v>0.1</v>
      </c>
      <c r="O19" s="58">
        <f>$M$19*E15</f>
        <v>6000</v>
      </c>
      <c r="P19" s="58">
        <f t="shared" ref="P19:Q19" si="3">$M$19*F15</f>
        <v>12000</v>
      </c>
      <c r="Q19" s="58">
        <f t="shared" si="3"/>
        <v>21600</v>
      </c>
      <c r="R19" s="172">
        <f t="shared" ref="R19:R20" si="4">SUM(O19:Q19)</f>
        <v>39600</v>
      </c>
      <c r="S19" s="123"/>
      <c r="T19" s="123"/>
    </row>
    <row r="20" spans="1:20" x14ac:dyDescent="0.25">
      <c r="A20" s="123"/>
      <c r="B20" s="310" t="s">
        <v>223</v>
      </c>
      <c r="C20" s="301"/>
      <c r="D20" s="301"/>
      <c r="E20" s="301">
        <f t="shared" ref="E20:I20" si="5">E19*$K$3*$L$3</f>
        <v>3000</v>
      </c>
      <c r="F20" s="301">
        <f t="shared" si="5"/>
        <v>6000</v>
      </c>
      <c r="G20" s="301">
        <f t="shared" si="5"/>
        <v>10800</v>
      </c>
      <c r="H20" s="301">
        <f t="shared" si="5"/>
        <v>2400</v>
      </c>
      <c r="I20" s="311">
        <f t="shared" si="5"/>
        <v>550</v>
      </c>
      <c r="J20" s="177"/>
      <c r="K20" s="5" t="s">
        <v>224</v>
      </c>
      <c r="L20" s="7"/>
      <c r="M20" s="7"/>
      <c r="N20" s="165"/>
      <c r="O20" s="171">
        <f>25000-3000</f>
        <v>22000</v>
      </c>
      <c r="P20" s="171">
        <f t="shared" ref="P20:Q20" si="6">25000-3000</f>
        <v>22000</v>
      </c>
      <c r="Q20" s="171">
        <f t="shared" si="6"/>
        <v>22000</v>
      </c>
      <c r="R20" s="172">
        <f t="shared" si="4"/>
        <v>66000</v>
      </c>
      <c r="S20" s="123"/>
      <c r="T20" s="123"/>
    </row>
    <row r="21" spans="1:20" ht="14.95" thickBot="1" x14ac:dyDescent="0.3">
      <c r="A21" s="123"/>
      <c r="B21" s="310" t="s">
        <v>225</v>
      </c>
      <c r="C21" s="301"/>
      <c r="D21" s="301"/>
      <c r="E21" s="301">
        <f t="shared" ref="E21:I21" si="7">E19*$K$3*$M$3*$O$4</f>
        <v>8865</v>
      </c>
      <c r="F21" s="301">
        <f t="shared" si="7"/>
        <v>17730</v>
      </c>
      <c r="G21" s="301">
        <f t="shared" si="7"/>
        <v>31914</v>
      </c>
      <c r="H21" s="301">
        <f t="shared" si="7"/>
        <v>7092</v>
      </c>
      <c r="I21" s="311">
        <f t="shared" si="7"/>
        <v>1625.25</v>
      </c>
      <c r="J21" s="175"/>
      <c r="K21" s="162" t="s">
        <v>226</v>
      </c>
      <c r="L21" s="12"/>
      <c r="M21" s="12"/>
      <c r="N21" s="178"/>
      <c r="O21" s="179">
        <f>O16+O17-O18-O19-O20</f>
        <v>144265</v>
      </c>
      <c r="P21" s="179">
        <f t="shared" ref="P21:Q21" si="8">P16+P17-P18-P19-P20</f>
        <v>30795</v>
      </c>
      <c r="Q21" s="179">
        <f t="shared" si="8"/>
        <v>61109</v>
      </c>
      <c r="R21" s="180">
        <f>Q21</f>
        <v>61109</v>
      </c>
      <c r="S21" s="123"/>
      <c r="T21" s="123"/>
    </row>
    <row r="22" spans="1:20" ht="14.95" thickBot="1" x14ac:dyDescent="0.3">
      <c r="A22" s="123"/>
      <c r="B22" s="310" t="s">
        <v>227</v>
      </c>
      <c r="C22" s="301"/>
      <c r="D22" s="301"/>
      <c r="E22" s="301">
        <f>36000*R3</f>
        <v>14400</v>
      </c>
      <c r="F22" s="301">
        <f t="shared" ref="F22:I22" si="9">E19*$Q$3*$R$3</f>
        <v>19200</v>
      </c>
      <c r="G22" s="301">
        <f t="shared" si="9"/>
        <v>38400</v>
      </c>
      <c r="H22" s="301">
        <f t="shared" si="9"/>
        <v>69120</v>
      </c>
      <c r="I22" s="311">
        <f t="shared" si="9"/>
        <v>15360</v>
      </c>
      <c r="J22" s="181"/>
      <c r="K22" s="182" t="s">
        <v>228</v>
      </c>
      <c r="L22" s="183"/>
      <c r="M22" s="183"/>
      <c r="N22" s="184"/>
      <c r="O22" s="184"/>
      <c r="P22" s="184"/>
      <c r="Q22" s="183"/>
      <c r="R22" s="185"/>
      <c r="S22" s="123"/>
      <c r="T22" s="123"/>
    </row>
    <row r="23" spans="1:20" ht="14.95" thickBot="1" x14ac:dyDescent="0.3">
      <c r="A23" s="123"/>
      <c r="B23" s="310" t="s">
        <v>229</v>
      </c>
      <c r="C23" s="301"/>
      <c r="D23" s="301"/>
      <c r="E23" s="301">
        <f>30000*S3</f>
        <v>18000</v>
      </c>
      <c r="F23" s="301">
        <f>36000*S3</f>
        <v>21600</v>
      </c>
      <c r="G23" s="301">
        <f t="shared" ref="G23:I23" si="10">E19*$Q$3*$S$3</f>
        <v>28800</v>
      </c>
      <c r="H23" s="301">
        <f t="shared" si="10"/>
        <v>57600</v>
      </c>
      <c r="I23" s="311">
        <f t="shared" si="10"/>
        <v>103680</v>
      </c>
      <c r="J23" s="181"/>
      <c r="K23" s="123"/>
      <c r="L23" s="123"/>
      <c r="M23" s="123"/>
      <c r="N23" s="123"/>
      <c r="O23" s="123"/>
      <c r="P23" s="123"/>
      <c r="Q23" s="123"/>
      <c r="R23" s="123"/>
      <c r="S23" s="123"/>
      <c r="T23" s="123"/>
    </row>
    <row r="24" spans="1:20" ht="14.95" thickBot="1" x14ac:dyDescent="0.3">
      <c r="A24" s="123"/>
      <c r="B24" s="312" t="s">
        <v>230</v>
      </c>
      <c r="C24" s="313"/>
      <c r="D24" s="314"/>
      <c r="E24" s="315">
        <f t="shared" ref="E24:H24" si="11">SUM(E20:E23)</f>
        <v>44265</v>
      </c>
      <c r="F24" s="315">
        <f t="shared" si="11"/>
        <v>64530</v>
      </c>
      <c r="G24" s="315">
        <f t="shared" si="11"/>
        <v>109914</v>
      </c>
      <c r="H24" s="315">
        <f t="shared" si="11"/>
        <v>136212</v>
      </c>
      <c r="I24" s="316">
        <f>SUM(I20:I23)</f>
        <v>121215.25</v>
      </c>
      <c r="J24" s="123"/>
      <c r="K24" s="701" t="s">
        <v>231</v>
      </c>
      <c r="L24" s="702"/>
      <c r="M24" s="702"/>
      <c r="N24" s="702"/>
      <c r="O24" s="702"/>
      <c r="P24" s="702"/>
      <c r="Q24" s="702"/>
      <c r="R24" s="703"/>
      <c r="S24" s="123"/>
      <c r="T24" s="123"/>
    </row>
    <row r="25" spans="1:20" ht="14.95" thickBot="1" x14ac:dyDescent="0.3">
      <c r="A25" s="123"/>
      <c r="B25" s="123"/>
      <c r="C25" s="123"/>
      <c r="D25" s="186"/>
      <c r="E25" s="187"/>
      <c r="F25" s="187"/>
      <c r="G25" s="187"/>
      <c r="H25" s="123"/>
      <c r="I25" s="123"/>
      <c r="J25" s="123"/>
      <c r="K25" s="704"/>
      <c r="L25" s="705"/>
      <c r="M25" s="705"/>
      <c r="N25" s="705"/>
      <c r="O25" s="705"/>
      <c r="P25" s="705"/>
      <c r="Q25" s="705"/>
      <c r="R25" s="706"/>
      <c r="S25" s="123"/>
      <c r="T25" s="123"/>
    </row>
    <row r="26" spans="1:20" ht="23.8" x14ac:dyDescent="0.25">
      <c r="A26" s="123"/>
      <c r="B26" s="151" t="s">
        <v>232</v>
      </c>
      <c r="C26" s="3"/>
      <c r="D26" s="3"/>
      <c r="E26" s="3"/>
      <c r="F26" s="3"/>
      <c r="G26" s="3"/>
      <c r="H26" s="3"/>
      <c r="I26" s="4"/>
      <c r="J26" s="123"/>
      <c r="K26" s="188" t="s">
        <v>233</v>
      </c>
      <c r="L26" s="189" t="s">
        <v>234</v>
      </c>
      <c r="M26" s="190" t="s">
        <v>235</v>
      </c>
      <c r="N26" s="189" t="s">
        <v>236</v>
      </c>
      <c r="O26" s="190" t="s">
        <v>237</v>
      </c>
      <c r="P26" s="7"/>
      <c r="Q26" s="191" t="s">
        <v>190</v>
      </c>
      <c r="R26" s="4"/>
      <c r="S26" s="123"/>
      <c r="T26" s="123"/>
    </row>
    <row r="27" spans="1:20" x14ac:dyDescent="0.25">
      <c r="A27" s="123"/>
      <c r="B27" s="5"/>
      <c r="C27" s="7"/>
      <c r="D27" s="155" t="s">
        <v>213</v>
      </c>
      <c r="E27" s="153" t="s">
        <v>190</v>
      </c>
      <c r="F27" s="153" t="s">
        <v>191</v>
      </c>
      <c r="G27" s="153" t="s">
        <v>192</v>
      </c>
      <c r="H27" s="153" t="s">
        <v>193</v>
      </c>
      <c r="I27" s="152" t="s">
        <v>194</v>
      </c>
      <c r="J27" s="123"/>
      <c r="K27" s="192" t="s">
        <v>238</v>
      </c>
      <c r="L27" s="193"/>
      <c r="M27" s="194" t="s">
        <v>239</v>
      </c>
      <c r="N27" s="193"/>
      <c r="O27" s="194" t="s">
        <v>240</v>
      </c>
      <c r="P27" s="7"/>
      <c r="Q27" s="174" t="s">
        <v>241</v>
      </c>
      <c r="R27" s="35">
        <f>E14</f>
        <v>30</v>
      </c>
      <c r="S27" s="123"/>
      <c r="T27" s="123"/>
    </row>
    <row r="28" spans="1:20" x14ac:dyDescent="0.25">
      <c r="A28" s="123"/>
      <c r="B28" s="5" t="s">
        <v>242</v>
      </c>
      <c r="C28" s="7"/>
      <c r="D28" s="7"/>
      <c r="E28" s="159">
        <f>E13</f>
        <v>2000</v>
      </c>
      <c r="F28" s="159">
        <f t="shared" ref="F28:I28" si="12">F13</f>
        <v>4000</v>
      </c>
      <c r="G28" s="159">
        <f t="shared" si="12"/>
        <v>8000</v>
      </c>
      <c r="H28" s="159">
        <f t="shared" si="12"/>
        <v>2000</v>
      </c>
      <c r="I28" s="160">
        <f t="shared" si="12"/>
        <v>500</v>
      </c>
      <c r="J28" s="123"/>
      <c r="K28" s="57">
        <f>R28*R27</f>
        <v>60000</v>
      </c>
      <c r="L28" s="7"/>
      <c r="M28" s="161">
        <f>R30*R27</f>
        <v>63000</v>
      </c>
      <c r="N28" s="7"/>
      <c r="O28" s="161">
        <f>R30*R29</f>
        <v>60900</v>
      </c>
      <c r="P28" s="7"/>
      <c r="Q28" s="318" t="s">
        <v>243</v>
      </c>
      <c r="R28" s="320">
        <f>E13</f>
        <v>2000</v>
      </c>
      <c r="S28" s="123"/>
      <c r="T28" s="123"/>
    </row>
    <row r="29" spans="1:20" x14ac:dyDescent="0.25">
      <c r="A29" s="123"/>
      <c r="B29" s="5" t="s">
        <v>244</v>
      </c>
      <c r="C29" s="7"/>
      <c r="D29" s="7"/>
      <c r="E29" s="195">
        <f>F28+G28</f>
        <v>12000</v>
      </c>
      <c r="F29" s="196">
        <f>G28+H28</f>
        <v>10000</v>
      </c>
      <c r="G29" s="159">
        <f>H28+I28</f>
        <v>2500</v>
      </c>
      <c r="H29" s="159"/>
      <c r="I29" s="160"/>
      <c r="J29" s="123"/>
      <c r="K29" s="5"/>
      <c r="L29" s="161">
        <f>M28-K28</f>
        <v>3000</v>
      </c>
      <c r="M29" s="7"/>
      <c r="N29" s="161">
        <f>O28-M28</f>
        <v>-2100</v>
      </c>
      <c r="O29" s="7"/>
      <c r="P29" s="7"/>
      <c r="Q29" s="174" t="s">
        <v>245</v>
      </c>
      <c r="R29" s="35">
        <v>29</v>
      </c>
      <c r="S29" s="123"/>
      <c r="T29" s="123"/>
    </row>
    <row r="30" spans="1:20" ht="14.95" thickBot="1" x14ac:dyDescent="0.3">
      <c r="A30" s="123"/>
      <c r="B30" s="5" t="s">
        <v>246</v>
      </c>
      <c r="C30" s="7"/>
      <c r="D30" s="7"/>
      <c r="E30" s="197">
        <v>6000</v>
      </c>
      <c r="F30" s="195">
        <f>E29</f>
        <v>12000</v>
      </c>
      <c r="G30" s="196">
        <f>F29</f>
        <v>10000</v>
      </c>
      <c r="H30" s="159"/>
      <c r="I30" s="160"/>
      <c r="J30" s="123"/>
      <c r="K30" s="5"/>
      <c r="L30" s="155" t="s">
        <v>247</v>
      </c>
      <c r="M30" s="7"/>
      <c r="N30" s="155" t="s">
        <v>248</v>
      </c>
      <c r="O30" s="7"/>
      <c r="P30" s="7"/>
      <c r="Q30" s="319" t="s">
        <v>249</v>
      </c>
      <c r="R30" s="321">
        <v>2100</v>
      </c>
      <c r="S30" s="123"/>
      <c r="T30" s="123"/>
    </row>
    <row r="31" spans="1:20" x14ac:dyDescent="0.25">
      <c r="A31" s="123"/>
      <c r="B31" s="5" t="s">
        <v>250</v>
      </c>
      <c r="C31" s="7"/>
      <c r="D31" s="7"/>
      <c r="E31" s="159">
        <f>E28+E29-E30</f>
        <v>8000</v>
      </c>
      <c r="F31" s="159">
        <f t="shared" ref="F31:G31" si="13">F28+F29-F30</f>
        <v>2000</v>
      </c>
      <c r="G31" s="159">
        <f t="shared" si="13"/>
        <v>500</v>
      </c>
      <c r="H31" s="159"/>
      <c r="I31" s="160"/>
      <c r="J31" s="123"/>
      <c r="K31" s="199"/>
      <c r="L31" s="15"/>
      <c r="M31" s="50">
        <f>L29+N29</f>
        <v>900</v>
      </c>
      <c r="N31" s="15"/>
      <c r="O31" s="15"/>
      <c r="P31" s="15"/>
      <c r="Q31" s="15"/>
      <c r="R31" s="200"/>
      <c r="S31" s="123"/>
      <c r="T31" s="123"/>
    </row>
    <row r="32" spans="1:20" ht="14.95" thickBot="1" x14ac:dyDescent="0.3">
      <c r="A32" s="123"/>
      <c r="B32" s="162" t="s">
        <v>251</v>
      </c>
      <c r="C32" s="12"/>
      <c r="D32" s="201">
        <v>18</v>
      </c>
      <c r="E32" s="157">
        <f>E31*$D$32</f>
        <v>144000</v>
      </c>
      <c r="F32" s="157">
        <f t="shared" ref="F32:G32" si="14">F31*$D$32</f>
        <v>36000</v>
      </c>
      <c r="G32" s="157">
        <f t="shared" si="14"/>
        <v>9000</v>
      </c>
      <c r="H32" s="202"/>
      <c r="I32" s="198"/>
      <c r="J32" s="123"/>
      <c r="K32" s="203"/>
      <c r="L32" s="183"/>
      <c r="M32" s="204" t="s">
        <v>252</v>
      </c>
      <c r="N32" s="205"/>
      <c r="O32" s="206"/>
      <c r="P32" s="183"/>
      <c r="Q32" s="183"/>
      <c r="R32" s="185"/>
      <c r="S32" s="123"/>
      <c r="T32" s="123"/>
    </row>
    <row r="33" spans="1:20" ht="14.95" thickBot="1" x14ac:dyDescent="0.3">
      <c r="A33" s="123"/>
      <c r="B33" s="123"/>
      <c r="C33" s="123"/>
      <c r="D33" s="123"/>
      <c r="E33" s="123"/>
      <c r="F33" s="123"/>
      <c r="G33" s="123"/>
      <c r="H33" s="123"/>
      <c r="I33" s="123"/>
      <c r="J33" s="123"/>
      <c r="K33" s="207"/>
      <c r="L33" s="124"/>
      <c r="M33" s="208"/>
      <c r="N33" s="124"/>
      <c r="O33" s="208"/>
      <c r="P33" s="207"/>
      <c r="Q33" s="124"/>
      <c r="R33" s="124"/>
      <c r="S33" s="123"/>
      <c r="T33" s="123"/>
    </row>
    <row r="34" spans="1:20" x14ac:dyDescent="0.25">
      <c r="A34" s="123"/>
      <c r="B34" s="209" t="s">
        <v>253</v>
      </c>
      <c r="C34" s="7"/>
      <c r="D34" s="7"/>
      <c r="E34" s="7"/>
      <c r="F34" s="7"/>
      <c r="G34" s="7"/>
      <c r="H34" s="7"/>
      <c r="I34" s="7"/>
      <c r="J34" s="124"/>
      <c r="K34" s="210" t="s">
        <v>254</v>
      </c>
      <c r="L34" s="211"/>
      <c r="M34" s="211"/>
      <c r="N34" s="212"/>
      <c r="O34" s="212"/>
      <c r="P34" s="212"/>
      <c r="Q34" s="213"/>
      <c r="R34" s="123"/>
      <c r="S34" s="123"/>
      <c r="T34" s="123"/>
    </row>
    <row r="35" spans="1:20" x14ac:dyDescent="0.25">
      <c r="A35" s="123"/>
      <c r="E35" s="127" t="s">
        <v>190</v>
      </c>
      <c r="F35" s="127" t="s">
        <v>191</v>
      </c>
      <c r="G35" s="127" t="s">
        <v>192</v>
      </c>
      <c r="H35" s="127" t="s">
        <v>217</v>
      </c>
      <c r="I35" s="7"/>
      <c r="J35" s="124"/>
      <c r="K35" s="199" t="s">
        <v>255</v>
      </c>
      <c r="L35" s="214"/>
      <c r="M35" s="214"/>
      <c r="N35" s="215"/>
      <c r="O35" s="215"/>
      <c r="P35" s="215"/>
      <c r="Q35" s="216"/>
      <c r="R35" s="217"/>
      <c r="S35" s="123"/>
      <c r="T35" s="123"/>
    </row>
    <row r="36" spans="1:20" x14ac:dyDescent="0.25">
      <c r="A36" s="123"/>
      <c r="B36" s="218" t="s">
        <v>256</v>
      </c>
      <c r="E36" s="219">
        <f>O17</f>
        <v>44265</v>
      </c>
      <c r="F36" s="219">
        <f t="shared" ref="F36:G36" si="15">P17</f>
        <v>64530</v>
      </c>
      <c r="G36" s="219">
        <f t="shared" si="15"/>
        <v>109914</v>
      </c>
      <c r="H36" s="219">
        <f>SUM(E36:G36)</f>
        <v>218709</v>
      </c>
      <c r="I36" s="7"/>
      <c r="J36" s="124"/>
      <c r="K36" s="199"/>
      <c r="L36" s="15" t="s">
        <v>257</v>
      </c>
      <c r="M36" s="15"/>
      <c r="N36" s="171" t="s">
        <v>258</v>
      </c>
      <c r="O36" s="171"/>
      <c r="P36" s="171"/>
      <c r="Q36" s="172"/>
      <c r="R36" s="123"/>
      <c r="S36" s="123"/>
      <c r="T36" s="123"/>
    </row>
    <row r="37" spans="1:20" x14ac:dyDescent="0.25">
      <c r="A37" s="123"/>
      <c r="B37" s="218" t="s">
        <v>259</v>
      </c>
      <c r="E37" s="219">
        <f>O18+O19+O20</f>
        <v>100000</v>
      </c>
      <c r="F37" s="219">
        <f t="shared" ref="F37:G37" si="16">P18+P19+P20</f>
        <v>178000</v>
      </c>
      <c r="G37" s="219">
        <f t="shared" si="16"/>
        <v>79600</v>
      </c>
      <c r="H37" s="219">
        <f>SUM(E37:G37)</f>
        <v>357600</v>
      </c>
      <c r="I37" s="7"/>
      <c r="J37" s="124"/>
      <c r="K37" s="199"/>
      <c r="L37" s="214"/>
      <c r="M37" s="214"/>
      <c r="N37" s="215"/>
      <c r="O37" s="215"/>
      <c r="P37" s="215"/>
      <c r="Q37" s="216"/>
      <c r="R37" s="123"/>
      <c r="S37" s="123"/>
      <c r="T37" s="123"/>
    </row>
    <row r="38" spans="1:20" x14ac:dyDescent="0.25">
      <c r="A38" s="123"/>
      <c r="B38" s="218" t="s">
        <v>260</v>
      </c>
      <c r="E38" s="220">
        <f>E36-E37</f>
        <v>-55735</v>
      </c>
      <c r="F38" s="220">
        <f t="shared" ref="F38:G38" si="17">F36-F37</f>
        <v>-113470</v>
      </c>
      <c r="G38" s="219">
        <f t="shared" si="17"/>
        <v>30314</v>
      </c>
      <c r="H38" s="219">
        <f>SUM(E38:G38)</f>
        <v>-138891</v>
      </c>
      <c r="I38" s="7"/>
      <c r="J38" s="124"/>
      <c r="K38" s="317" t="s">
        <v>261</v>
      </c>
      <c r="L38" s="15"/>
      <c r="M38" s="15"/>
      <c r="N38" s="171"/>
      <c r="O38" s="171"/>
      <c r="P38" s="171"/>
      <c r="Q38" s="172"/>
      <c r="R38" s="123"/>
      <c r="S38" s="123"/>
      <c r="T38" s="123"/>
    </row>
    <row r="39" spans="1:20" x14ac:dyDescent="0.25">
      <c r="A39" s="123"/>
      <c r="B39" s="7"/>
      <c r="C39" s="7"/>
      <c r="D39" s="7"/>
      <c r="E39" s="7"/>
      <c r="F39" s="7"/>
      <c r="G39" s="7"/>
      <c r="H39" s="7"/>
      <c r="I39" s="7"/>
      <c r="J39" s="124"/>
      <c r="K39" s="317" t="s">
        <v>262</v>
      </c>
      <c r="L39" s="218"/>
      <c r="M39" s="15"/>
      <c r="N39" s="171"/>
      <c r="O39" s="171"/>
      <c r="P39" s="171"/>
      <c r="Q39" s="172"/>
      <c r="R39" s="123"/>
      <c r="S39" s="123"/>
      <c r="T39" s="123"/>
    </row>
    <row r="40" spans="1:20" x14ac:dyDescent="0.25">
      <c r="A40" s="123"/>
      <c r="B40" s="221" t="s">
        <v>263</v>
      </c>
      <c r="C40" s="218"/>
      <c r="D40" s="15"/>
      <c r="E40" s="171"/>
      <c r="F40" s="171"/>
      <c r="G40" s="171"/>
      <c r="H40" s="171"/>
      <c r="I40" s="15"/>
      <c r="J40" s="124"/>
      <c r="K40" s="199"/>
      <c r="L40" s="214"/>
      <c r="M40" s="15"/>
      <c r="N40" s="171"/>
      <c r="O40" s="215"/>
      <c r="P40" s="215"/>
      <c r="Q40" s="216"/>
      <c r="R40" s="123"/>
      <c r="S40" s="123"/>
      <c r="T40" s="123"/>
    </row>
    <row r="41" spans="1:20" ht="16.3" x14ac:dyDescent="0.3">
      <c r="A41" s="123"/>
      <c r="B41" s="222" t="s">
        <v>264</v>
      </c>
      <c r="C41" s="222"/>
      <c r="D41" s="222"/>
      <c r="E41" s="223"/>
      <c r="F41" s="223"/>
      <c r="G41" s="223"/>
      <c r="H41" s="223"/>
      <c r="I41" s="15"/>
      <c r="J41" s="124"/>
      <c r="K41" s="199" t="s">
        <v>265</v>
      </c>
      <c r="L41" s="214"/>
      <c r="M41" s="15"/>
      <c r="N41" s="171"/>
      <c r="O41" s="215"/>
      <c r="P41" s="215"/>
      <c r="Q41" s="216"/>
      <c r="R41" s="123"/>
      <c r="S41" s="123"/>
      <c r="T41" s="123"/>
    </row>
    <row r="42" spans="1:20" ht="17" thickBot="1" x14ac:dyDescent="0.35">
      <c r="A42" s="123"/>
      <c r="B42" s="224" t="s">
        <v>266</v>
      </c>
      <c r="C42" s="222"/>
      <c r="D42" s="222"/>
      <c r="E42" s="223"/>
      <c r="F42" s="223"/>
      <c r="G42" s="223"/>
      <c r="H42" s="223"/>
      <c r="I42" s="15"/>
      <c r="J42" s="124"/>
      <c r="K42" s="225" t="s">
        <v>267</v>
      </c>
      <c r="L42" s="183"/>
      <c r="M42" s="183"/>
      <c r="N42" s="184"/>
      <c r="O42" s="184"/>
      <c r="P42" s="184"/>
      <c r="Q42" s="185"/>
      <c r="R42" s="123"/>
      <c r="S42" s="123"/>
      <c r="T42" s="123"/>
    </row>
    <row r="43" spans="1:20" ht="16.3" x14ac:dyDescent="0.3">
      <c r="A43" s="123"/>
      <c r="B43" s="224" t="s">
        <v>268</v>
      </c>
      <c r="C43" s="222"/>
      <c r="D43" s="222"/>
      <c r="E43" s="223"/>
      <c r="F43" s="223"/>
      <c r="G43" s="223"/>
      <c r="H43" s="223"/>
      <c r="I43" s="123"/>
      <c r="J43" s="123"/>
      <c r="K43" s="123"/>
      <c r="L43" s="123"/>
      <c r="M43" s="123"/>
      <c r="N43" s="123"/>
      <c r="O43" s="123"/>
      <c r="P43" s="123"/>
      <c r="Q43" s="123"/>
      <c r="R43" s="123"/>
      <c r="S43" s="123"/>
      <c r="T43" s="123"/>
    </row>
    <row r="44" spans="1:20" ht="16.3" x14ac:dyDescent="0.3">
      <c r="B44" s="224" t="s">
        <v>269</v>
      </c>
      <c r="C44" s="222"/>
      <c r="D44" s="222"/>
      <c r="E44" s="223"/>
      <c r="F44" s="223"/>
      <c r="G44" s="223"/>
      <c r="H44" s="223"/>
    </row>
    <row r="45" spans="1:20" ht="16.3" x14ac:dyDescent="0.3">
      <c r="B45" s="224"/>
      <c r="C45" s="222"/>
      <c r="D45" s="222"/>
      <c r="E45" s="223"/>
      <c r="F45" s="223"/>
      <c r="G45" s="223"/>
      <c r="H45" s="223"/>
    </row>
    <row r="46" spans="1:20" ht="16.3" x14ac:dyDescent="0.3">
      <c r="B46" s="222" t="s">
        <v>270</v>
      </c>
      <c r="C46" s="222"/>
      <c r="D46" s="222"/>
      <c r="E46" s="223"/>
      <c r="F46" s="226"/>
      <c r="G46" s="226"/>
      <c r="H46" s="226"/>
    </row>
    <row r="47" spans="1:20" ht="16.3" x14ac:dyDescent="0.3">
      <c r="B47" s="222" t="s">
        <v>271</v>
      </c>
      <c r="C47" s="222"/>
      <c r="D47" s="222"/>
      <c r="E47" s="222"/>
      <c r="F47" s="222"/>
      <c r="G47" s="222"/>
      <c r="H47" s="222"/>
    </row>
    <row r="48" spans="1:20" ht="16.3" x14ac:dyDescent="0.3">
      <c r="B48" s="222" t="s">
        <v>272</v>
      </c>
      <c r="C48" s="222"/>
      <c r="D48" s="222"/>
      <c r="E48" s="222"/>
      <c r="F48" s="222"/>
      <c r="G48" s="222"/>
      <c r="H48" s="222"/>
    </row>
    <row r="49" spans="2:8" ht="16.3" x14ac:dyDescent="0.3">
      <c r="B49" s="222" t="s">
        <v>273</v>
      </c>
      <c r="C49" s="222"/>
      <c r="D49" s="227"/>
      <c r="E49" s="227"/>
      <c r="F49" s="228"/>
      <c r="G49" s="222"/>
      <c r="H49" s="222"/>
    </row>
    <row r="50" spans="2:8" ht="16.3" x14ac:dyDescent="0.3">
      <c r="B50" s="222" t="s">
        <v>274</v>
      </c>
      <c r="C50" s="222"/>
      <c r="D50" s="223"/>
      <c r="E50" s="222"/>
      <c r="F50" s="223"/>
      <c r="G50" s="229"/>
      <c r="H50" s="222"/>
    </row>
    <row r="52" spans="2:8" ht="16.3" x14ac:dyDescent="0.3">
      <c r="B52" s="222" t="s">
        <v>275</v>
      </c>
    </row>
    <row r="53" spans="2:8" ht="16.3" x14ac:dyDescent="0.3">
      <c r="B53" s="222" t="s">
        <v>276</v>
      </c>
    </row>
    <row r="54" spans="2:8" ht="16.3" x14ac:dyDescent="0.3">
      <c r="B54" s="222" t="s">
        <v>277</v>
      </c>
    </row>
    <row r="55" spans="2:8" ht="16.3" x14ac:dyDescent="0.3">
      <c r="B55" s="222" t="s">
        <v>278</v>
      </c>
    </row>
    <row r="56" spans="2:8" ht="16.3" x14ac:dyDescent="0.3">
      <c r="B56" s="222" t="s">
        <v>279</v>
      </c>
    </row>
    <row r="119" spans="2:2" s="126" customFormat="1" x14ac:dyDescent="0.25">
      <c r="B119"/>
    </row>
    <row r="121" spans="2:2" x14ac:dyDescent="0.25">
      <c r="B121" s="126"/>
    </row>
    <row r="136" spans="2:2" x14ac:dyDescent="0.25">
      <c r="B136" s="126"/>
    </row>
  </sheetData>
  <mergeCells count="6">
    <mergeCell ref="K24:R25"/>
    <mergeCell ref="R1:S1"/>
    <mergeCell ref="B3:C3"/>
    <mergeCell ref="B4:C4"/>
    <mergeCell ref="B5:S5"/>
    <mergeCell ref="K14:R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44"/>
  <sheetViews>
    <sheetView topLeftCell="A2" zoomScale="70" zoomScaleNormal="70" workbookViewId="0">
      <selection activeCell="M36" sqref="M36:U42"/>
    </sheetView>
  </sheetViews>
  <sheetFormatPr defaultRowHeight="14.3" x14ac:dyDescent="0.25"/>
  <cols>
    <col min="1" max="1" width="14.5" customWidth="1"/>
    <col min="2" max="2" width="16.125" customWidth="1"/>
    <col min="3" max="6" width="10.75" customWidth="1"/>
    <col min="7" max="7" width="12" bestFit="1" customWidth="1"/>
    <col min="8" max="8" width="13.125" customWidth="1"/>
    <col min="9" max="9" width="12.75" bestFit="1" customWidth="1"/>
    <col min="10" max="10" width="11.375" customWidth="1"/>
    <col min="11" max="11" width="10.75" customWidth="1"/>
    <col min="12" max="12" width="1.75" customWidth="1"/>
    <col min="13" max="13" width="43.875" customWidth="1"/>
    <col min="14" max="14" width="10.375" customWidth="1"/>
    <col min="15" max="15" width="14" customWidth="1"/>
    <col min="16" max="17" width="14.25" bestFit="1" customWidth="1"/>
    <col min="18" max="20" width="12.375" bestFit="1" customWidth="1"/>
    <col min="21" max="21" width="14" bestFit="1" customWidth="1"/>
  </cols>
  <sheetData>
    <row r="1" spans="1:22" ht="19.7" thickBot="1" x14ac:dyDescent="0.4">
      <c r="O1" s="230"/>
    </row>
    <row r="2" spans="1:22" ht="19.7" thickBot="1" x14ac:dyDescent="0.4">
      <c r="C2" s="718" t="s">
        <v>280</v>
      </c>
      <c r="D2" s="719"/>
      <c r="E2" s="720"/>
      <c r="F2" s="718" t="s">
        <v>281</v>
      </c>
      <c r="G2" s="719"/>
      <c r="H2" s="720"/>
      <c r="I2" s="718" t="s">
        <v>282</v>
      </c>
      <c r="J2" s="719"/>
      <c r="K2" s="720"/>
      <c r="N2" s="68"/>
      <c r="O2" s="68"/>
    </row>
    <row r="3" spans="1:22" ht="19.7" thickBot="1" x14ac:dyDescent="0.4">
      <c r="A3" s="66"/>
      <c r="B3" s="66"/>
      <c r="C3" s="231" t="s">
        <v>283</v>
      </c>
      <c r="D3" s="231" t="s">
        <v>284</v>
      </c>
      <c r="E3" s="231" t="s">
        <v>285</v>
      </c>
      <c r="F3" s="231" t="s">
        <v>286</v>
      </c>
      <c r="G3" s="231" t="s">
        <v>287</v>
      </c>
      <c r="H3" s="231" t="s">
        <v>288</v>
      </c>
      <c r="I3" s="231" t="s">
        <v>289</v>
      </c>
      <c r="J3" s="231" t="s">
        <v>290</v>
      </c>
      <c r="K3" s="231" t="s">
        <v>291</v>
      </c>
      <c r="N3" s="68"/>
      <c r="O3" s="68"/>
    </row>
    <row r="4" spans="1:22" ht="19.05" x14ac:dyDescent="0.35">
      <c r="A4" s="232" t="s">
        <v>292</v>
      </c>
      <c r="B4" s="233" t="s">
        <v>293</v>
      </c>
      <c r="C4" s="234">
        <v>1500</v>
      </c>
      <c r="D4" s="234">
        <v>1400</v>
      </c>
      <c r="E4" s="234">
        <v>1300</v>
      </c>
      <c r="F4" s="235">
        <v>1200</v>
      </c>
      <c r="G4" s="234">
        <v>1400</v>
      </c>
      <c r="H4" s="234">
        <v>1500</v>
      </c>
      <c r="I4" s="236">
        <v>2000</v>
      </c>
      <c r="J4" s="234">
        <v>3000</v>
      </c>
      <c r="K4" s="237">
        <v>4000</v>
      </c>
      <c r="N4" s="68"/>
      <c r="O4" s="68"/>
    </row>
    <row r="5" spans="1:22" ht="19.05" x14ac:dyDescent="0.35">
      <c r="A5" s="238" t="s">
        <v>292</v>
      </c>
      <c r="B5" s="239" t="s">
        <v>294</v>
      </c>
      <c r="C5" s="240">
        <v>450</v>
      </c>
      <c r="D5" s="240">
        <v>300</v>
      </c>
      <c r="E5" s="240">
        <v>250</v>
      </c>
      <c r="F5" s="241">
        <v>250</v>
      </c>
      <c r="G5" s="240">
        <v>300</v>
      </c>
      <c r="H5" s="240">
        <v>500</v>
      </c>
      <c r="I5" s="240">
        <v>650</v>
      </c>
      <c r="J5" s="240">
        <v>700</v>
      </c>
      <c r="K5" s="242">
        <v>750</v>
      </c>
    </row>
    <row r="6" spans="1:22" ht="19.7" thickBot="1" x14ac:dyDescent="0.4">
      <c r="A6" s="68">
        <v>1</v>
      </c>
      <c r="B6" s="68" t="s">
        <v>295</v>
      </c>
      <c r="C6" s="243">
        <f>C4*C5</f>
        <v>675000</v>
      </c>
      <c r="D6" s="243">
        <f t="shared" ref="D6:K6" si="0">D4*D5</f>
        <v>420000</v>
      </c>
      <c r="E6" s="243">
        <f t="shared" si="0"/>
        <v>325000</v>
      </c>
      <c r="F6" s="243">
        <f t="shared" si="0"/>
        <v>300000</v>
      </c>
      <c r="G6" s="243">
        <f t="shared" si="0"/>
        <v>420000</v>
      </c>
      <c r="H6" s="243">
        <f t="shared" si="0"/>
        <v>750000</v>
      </c>
      <c r="I6" s="243">
        <f t="shared" si="0"/>
        <v>1300000</v>
      </c>
      <c r="J6" s="243">
        <f t="shared" si="0"/>
        <v>2100000</v>
      </c>
      <c r="K6" s="244">
        <f t="shared" si="0"/>
        <v>3000000</v>
      </c>
    </row>
    <row r="7" spans="1:22" ht="19.05" x14ac:dyDescent="0.35">
      <c r="A7" s="245" t="s">
        <v>237</v>
      </c>
      <c r="B7" s="246" t="s">
        <v>293</v>
      </c>
      <c r="C7" s="247">
        <v>1600</v>
      </c>
      <c r="D7" s="247">
        <v>1500</v>
      </c>
      <c r="E7" s="247">
        <v>1100</v>
      </c>
      <c r="F7" s="248">
        <v>1300</v>
      </c>
      <c r="G7" s="66"/>
      <c r="H7" s="66"/>
      <c r="I7" s="66"/>
      <c r="N7" s="68"/>
      <c r="O7" s="68"/>
    </row>
    <row r="8" spans="1:22" ht="19.05" x14ac:dyDescent="0.35">
      <c r="A8" s="245" t="s">
        <v>237</v>
      </c>
      <c r="B8" s="246" t="s">
        <v>294</v>
      </c>
      <c r="C8" s="249">
        <v>425</v>
      </c>
      <c r="D8" s="249">
        <v>325</v>
      </c>
      <c r="E8" s="249">
        <v>200</v>
      </c>
      <c r="F8" s="250">
        <v>225</v>
      </c>
      <c r="G8" s="66"/>
      <c r="H8" s="66"/>
      <c r="I8" s="66"/>
      <c r="N8" s="251"/>
      <c r="O8" s="251"/>
    </row>
    <row r="9" spans="1:22" ht="19.05" x14ac:dyDescent="0.35">
      <c r="A9" s="245"/>
      <c r="B9" s="66"/>
      <c r="C9" s="66"/>
      <c r="D9" s="66"/>
      <c r="E9" s="66"/>
      <c r="F9" s="66"/>
      <c r="G9" s="66"/>
      <c r="H9" s="66"/>
      <c r="I9" s="66"/>
      <c r="N9" s="68"/>
      <c r="O9" s="68"/>
    </row>
    <row r="10" spans="1:22" ht="19.05" x14ac:dyDescent="0.35">
      <c r="A10" s="68">
        <f>A6+1</f>
        <v>2</v>
      </c>
      <c r="B10" s="68" t="s">
        <v>296</v>
      </c>
      <c r="G10" s="66"/>
      <c r="H10" s="66"/>
      <c r="I10" s="66"/>
      <c r="M10" s="68" t="s">
        <v>297</v>
      </c>
    </row>
    <row r="11" spans="1:22" ht="19.05" x14ac:dyDescent="0.35">
      <c r="A11" s="199" t="s">
        <v>298</v>
      </c>
      <c r="B11" s="15"/>
      <c r="C11" s="15"/>
      <c r="D11" s="171"/>
      <c r="E11" s="171"/>
      <c r="F11" s="171"/>
      <c r="G11" s="252">
        <f>(F7-F4)*F5</f>
        <v>25000</v>
      </c>
      <c r="H11" s="253" t="s">
        <v>299</v>
      </c>
      <c r="I11" s="254">
        <f>(F7-F4)*F5</f>
        <v>25000</v>
      </c>
      <c r="M11" s="245" t="s">
        <v>300</v>
      </c>
      <c r="N11" s="255">
        <v>60</v>
      </c>
      <c r="O11" s="66" t="s">
        <v>301</v>
      </c>
      <c r="P11" s="66"/>
      <c r="Q11" s="66"/>
      <c r="R11" s="66"/>
      <c r="S11" s="66"/>
      <c r="T11" s="66"/>
      <c r="U11" s="66"/>
    </row>
    <row r="12" spans="1:22" ht="19.05" x14ac:dyDescent="0.35">
      <c r="A12" s="199" t="s">
        <v>302</v>
      </c>
      <c r="B12" s="218"/>
      <c r="C12" s="15"/>
      <c r="D12" s="171"/>
      <c r="E12" s="171"/>
      <c r="F12" s="171"/>
      <c r="G12" s="252">
        <f>F7*(F8-F5)</f>
        <v>-32500</v>
      </c>
      <c r="H12" s="253" t="s">
        <v>303</v>
      </c>
      <c r="I12" s="254">
        <f>F7*(F8-F5)</f>
        <v>-32500</v>
      </c>
      <c r="M12" s="66"/>
      <c r="N12" s="256">
        <v>0.75</v>
      </c>
      <c r="O12" s="66" t="s">
        <v>304</v>
      </c>
      <c r="P12" s="66"/>
      <c r="Q12" s="66"/>
      <c r="R12" s="66"/>
      <c r="S12" s="66"/>
      <c r="T12" s="66"/>
      <c r="U12" s="66"/>
    </row>
    <row r="13" spans="1:22" ht="19.7" thickBot="1" x14ac:dyDescent="0.4">
      <c r="A13" s="15" t="s">
        <v>305</v>
      </c>
      <c r="B13" s="218"/>
      <c r="C13" s="15"/>
      <c r="D13" s="171"/>
      <c r="E13" s="171"/>
      <c r="F13" s="171"/>
      <c r="G13" s="252">
        <f>SUM(G11:G12)</f>
        <v>-7500</v>
      </c>
      <c r="H13" s="66" t="s">
        <v>303</v>
      </c>
      <c r="I13" s="254">
        <f>SUM(I11:I12)</f>
        <v>-7500</v>
      </c>
      <c r="N13" s="68"/>
      <c r="O13" s="68" t="str">
        <f t="shared" ref="O13:U13" si="1">C3</f>
        <v>April</v>
      </c>
      <c r="P13" s="68" t="str">
        <f t="shared" si="1"/>
        <v>May</v>
      </c>
      <c r="Q13" s="68" t="str">
        <f t="shared" si="1"/>
        <v>June</v>
      </c>
      <c r="R13" s="68" t="str">
        <f t="shared" si="1"/>
        <v>July</v>
      </c>
      <c r="S13" s="68" t="str">
        <f t="shared" si="1"/>
        <v>Aug</v>
      </c>
      <c r="T13" s="68" t="str">
        <f t="shared" si="1"/>
        <v>Sept</v>
      </c>
      <c r="U13" s="68" t="str">
        <f t="shared" si="1"/>
        <v>Oct</v>
      </c>
      <c r="V13" s="68"/>
    </row>
    <row r="14" spans="1:22" ht="19.05" x14ac:dyDescent="0.35">
      <c r="I14" s="66"/>
      <c r="M14" s="257" t="s">
        <v>306</v>
      </c>
      <c r="N14" s="258"/>
      <c r="O14" s="259">
        <f>C44*2</f>
        <v>2900</v>
      </c>
      <c r="P14" s="259">
        <f t="shared" ref="P14:U14" si="2">D44*2</f>
        <v>2700</v>
      </c>
      <c r="Q14" s="259">
        <f t="shared" si="2"/>
        <v>2500</v>
      </c>
      <c r="R14" s="259">
        <f t="shared" si="2"/>
        <v>2600</v>
      </c>
      <c r="S14" s="259">
        <f t="shared" si="2"/>
        <v>2900</v>
      </c>
      <c r="T14" s="259">
        <f t="shared" si="2"/>
        <v>3500</v>
      </c>
      <c r="U14" s="259">
        <f t="shared" si="2"/>
        <v>5000</v>
      </c>
      <c r="V14" s="4"/>
    </row>
    <row r="15" spans="1:22" ht="19.05" x14ac:dyDescent="0.35">
      <c r="A15" s="68">
        <v>3</v>
      </c>
      <c r="B15" s="68" t="s">
        <v>307</v>
      </c>
      <c r="E15" s="66"/>
      <c r="F15" s="66"/>
      <c r="G15" s="66"/>
      <c r="H15" s="66"/>
      <c r="I15" s="66"/>
      <c r="M15" s="260" t="s">
        <v>308</v>
      </c>
      <c r="N15" s="7"/>
      <c r="O15" s="261">
        <f>$N$12*P14</f>
        <v>2025</v>
      </c>
      <c r="P15" s="261">
        <f t="shared" ref="P15:U15" si="3">$N$12*Q14</f>
        <v>1875</v>
      </c>
      <c r="Q15" s="261">
        <f t="shared" si="3"/>
        <v>1950</v>
      </c>
      <c r="R15" s="261">
        <f t="shared" si="3"/>
        <v>2175</v>
      </c>
      <c r="S15" s="261">
        <f t="shared" si="3"/>
        <v>2625</v>
      </c>
      <c r="T15" s="261">
        <f t="shared" si="3"/>
        <v>3750</v>
      </c>
      <c r="U15" s="261">
        <f t="shared" si="3"/>
        <v>0</v>
      </c>
      <c r="V15" s="8"/>
    </row>
    <row r="16" spans="1:22" ht="19.05" x14ac:dyDescent="0.35">
      <c r="A16" s="245" t="s">
        <v>189</v>
      </c>
      <c r="B16" s="262">
        <v>0.6</v>
      </c>
      <c r="C16" s="66" t="s">
        <v>309</v>
      </c>
      <c r="D16" s="66"/>
      <c r="E16" s="66"/>
      <c r="F16" s="66"/>
      <c r="G16" s="66"/>
      <c r="H16" s="66"/>
      <c r="I16" s="66"/>
      <c r="M16" s="260" t="s">
        <v>310</v>
      </c>
      <c r="N16" s="7"/>
      <c r="O16" s="263">
        <f>N12*O14</f>
        <v>2175</v>
      </c>
      <c r="P16" s="261">
        <f>O15</f>
        <v>2025</v>
      </c>
      <c r="Q16" s="261">
        <f t="shared" ref="Q16:T16" si="4">P15</f>
        <v>1875</v>
      </c>
      <c r="R16" s="261">
        <f t="shared" si="4"/>
        <v>1950</v>
      </c>
      <c r="S16" s="261">
        <f t="shared" si="4"/>
        <v>2175</v>
      </c>
      <c r="T16" s="261">
        <f t="shared" si="4"/>
        <v>2625</v>
      </c>
      <c r="U16" s="261"/>
      <c r="V16" s="8"/>
    </row>
    <row r="17" spans="1:22" ht="19.05" x14ac:dyDescent="0.35">
      <c r="A17" s="66"/>
      <c r="B17" s="256"/>
      <c r="C17" s="66" t="s">
        <v>311</v>
      </c>
      <c r="D17" s="66"/>
      <c r="E17" s="66"/>
      <c r="F17" s="66"/>
      <c r="G17" s="66"/>
      <c r="H17" s="66"/>
      <c r="I17" s="66"/>
      <c r="M17" s="260" t="s">
        <v>312</v>
      </c>
      <c r="N17" s="7"/>
      <c r="O17" s="261">
        <f>O14+O15-O16</f>
        <v>2750</v>
      </c>
      <c r="P17" s="261">
        <f t="shared" ref="P17:T17" si="5">P14+P15-P16</f>
        <v>2550</v>
      </c>
      <c r="Q17" s="261">
        <f t="shared" si="5"/>
        <v>2575</v>
      </c>
      <c r="R17" s="261">
        <f t="shared" si="5"/>
        <v>2825</v>
      </c>
      <c r="S17" s="261">
        <f t="shared" si="5"/>
        <v>3350</v>
      </c>
      <c r="T17" s="261">
        <f t="shared" si="5"/>
        <v>4625</v>
      </c>
      <c r="U17" s="261"/>
      <c r="V17" s="8"/>
    </row>
    <row r="18" spans="1:22" ht="19.7" thickBot="1" x14ac:dyDescent="0.4">
      <c r="A18" s="66"/>
      <c r="B18" s="256"/>
      <c r="C18" s="66" t="s">
        <v>313</v>
      </c>
      <c r="D18" s="66"/>
      <c r="E18" s="66"/>
      <c r="F18" s="66"/>
      <c r="G18" s="66"/>
      <c r="H18" s="66"/>
      <c r="I18" s="66"/>
      <c r="M18" s="264" t="s">
        <v>314</v>
      </c>
      <c r="N18" s="11">
        <f>N11</f>
        <v>60</v>
      </c>
      <c r="O18" s="11">
        <f t="shared" ref="O18:T18" si="6">$N$18*O17</f>
        <v>165000</v>
      </c>
      <c r="P18" s="11">
        <f t="shared" si="6"/>
        <v>153000</v>
      </c>
      <c r="Q18" s="11">
        <f t="shared" si="6"/>
        <v>154500</v>
      </c>
      <c r="R18" s="11">
        <f t="shared" si="6"/>
        <v>169500</v>
      </c>
      <c r="S18" s="11">
        <f t="shared" si="6"/>
        <v>201000</v>
      </c>
      <c r="T18" s="11">
        <f t="shared" si="6"/>
        <v>277500</v>
      </c>
      <c r="U18" s="11"/>
      <c r="V18" s="13"/>
    </row>
    <row r="19" spans="1:22" ht="19.7" thickBot="1" x14ac:dyDescent="0.4">
      <c r="A19" s="66"/>
      <c r="B19" s="262">
        <f>1-B16</f>
        <v>0.4</v>
      </c>
      <c r="C19" s="66" t="s">
        <v>315</v>
      </c>
      <c r="D19" s="66"/>
      <c r="E19" s="66"/>
      <c r="F19" s="66"/>
      <c r="G19" s="66"/>
      <c r="H19" s="66"/>
      <c r="I19" s="66"/>
    </row>
    <row r="20" spans="1:22" ht="19.05" x14ac:dyDescent="0.35">
      <c r="A20" s="66"/>
      <c r="B20" s="256">
        <v>0.7</v>
      </c>
      <c r="C20" s="66" t="s">
        <v>316</v>
      </c>
      <c r="D20" s="66"/>
      <c r="E20" s="66"/>
      <c r="F20" s="66"/>
      <c r="G20" s="66"/>
      <c r="H20" s="66"/>
      <c r="I20" s="66"/>
      <c r="M20" s="112" t="s">
        <v>317</v>
      </c>
      <c r="N20" s="236" t="s">
        <v>318</v>
      </c>
      <c r="O20" s="236"/>
      <c r="P20" s="236"/>
      <c r="Q20" s="236"/>
      <c r="R20" s="236"/>
      <c r="S20" s="236"/>
      <c r="T20" s="236"/>
      <c r="U20" s="3"/>
      <c r="V20" s="4"/>
    </row>
    <row r="21" spans="1:22" ht="19.05" x14ac:dyDescent="0.35">
      <c r="A21" s="66"/>
      <c r="B21" s="256">
        <v>0.28000000000000003</v>
      </c>
      <c r="C21" s="66" t="s">
        <v>319</v>
      </c>
      <c r="D21" s="66"/>
      <c r="E21" s="66"/>
      <c r="F21" s="66"/>
      <c r="G21" s="66"/>
      <c r="H21" s="66"/>
      <c r="I21" s="66"/>
      <c r="M21" s="5"/>
      <c r="N21" s="253" t="s">
        <v>320</v>
      </c>
      <c r="O21" s="253"/>
      <c r="P21" s="253"/>
      <c r="Q21" s="253"/>
      <c r="R21" s="253"/>
      <c r="S21" s="253"/>
      <c r="T21" s="253"/>
      <c r="U21" s="7"/>
      <c r="V21" s="8"/>
    </row>
    <row r="22" spans="1:22" ht="19.05" x14ac:dyDescent="0.35">
      <c r="A22" s="66"/>
      <c r="B22" s="256">
        <v>0.02</v>
      </c>
      <c r="C22" s="66" t="s">
        <v>321</v>
      </c>
      <c r="D22" s="66"/>
      <c r="E22" s="66"/>
      <c r="F22" s="66"/>
      <c r="G22" s="66"/>
      <c r="H22" s="66"/>
      <c r="I22" s="66"/>
      <c r="M22" s="5"/>
      <c r="N22" s="265"/>
      <c r="O22" s="266" t="str">
        <f>O13</f>
        <v>April</v>
      </c>
      <c r="P22" s="266" t="str">
        <f t="shared" ref="P22:U22" si="7">P13</f>
        <v>May</v>
      </c>
      <c r="Q22" s="266" t="str">
        <f t="shared" si="7"/>
        <v>June</v>
      </c>
      <c r="R22" s="266" t="str">
        <f t="shared" si="7"/>
        <v>July</v>
      </c>
      <c r="S22" s="266" t="str">
        <f t="shared" si="7"/>
        <v>Aug</v>
      </c>
      <c r="T22" s="266" t="str">
        <f t="shared" si="7"/>
        <v>Sept</v>
      </c>
      <c r="U22" s="266" t="str">
        <f t="shared" si="7"/>
        <v>Oct</v>
      </c>
      <c r="V22" s="8"/>
    </row>
    <row r="23" spans="1:22" ht="19.05" x14ac:dyDescent="0.35">
      <c r="A23" s="66"/>
      <c r="B23" s="256">
        <v>0.8</v>
      </c>
      <c r="C23" s="66" t="s">
        <v>322</v>
      </c>
      <c r="D23" s="66"/>
      <c r="E23" s="66"/>
      <c r="F23" s="66"/>
      <c r="G23" s="66"/>
      <c r="H23" s="66"/>
      <c r="I23" s="66"/>
      <c r="M23" s="5" t="s">
        <v>323</v>
      </c>
      <c r="N23" s="265"/>
      <c r="O23" s="267">
        <f>20%*O18*0.98</f>
        <v>32340</v>
      </c>
      <c r="P23" s="267">
        <f t="shared" ref="P23:U23" si="8">20%*P18*0.98</f>
        <v>29988</v>
      </c>
      <c r="Q23" s="267">
        <f t="shared" si="8"/>
        <v>30282</v>
      </c>
      <c r="R23" s="267">
        <f t="shared" si="8"/>
        <v>33222</v>
      </c>
      <c r="S23" s="267">
        <f t="shared" si="8"/>
        <v>39396</v>
      </c>
      <c r="T23" s="267">
        <f t="shared" si="8"/>
        <v>54390</v>
      </c>
      <c r="U23" s="267">
        <f t="shared" si="8"/>
        <v>0</v>
      </c>
      <c r="V23" s="8"/>
    </row>
    <row r="24" spans="1:22" ht="19.05" x14ac:dyDescent="0.35">
      <c r="A24" s="66"/>
      <c r="B24" s="268">
        <v>0.5</v>
      </c>
      <c r="C24" s="66" t="s">
        <v>324</v>
      </c>
      <c r="D24" s="66"/>
      <c r="E24" s="66"/>
      <c r="F24" s="66"/>
      <c r="G24" s="66"/>
      <c r="H24" s="66"/>
      <c r="I24" s="66"/>
      <c r="M24" s="5" t="s">
        <v>325</v>
      </c>
      <c r="N24" s="265"/>
      <c r="O24" s="269">
        <v>120000</v>
      </c>
      <c r="P24" s="270">
        <f>80%*O18</f>
        <v>132000</v>
      </c>
      <c r="Q24" s="270">
        <f t="shared" ref="Q24:T24" si="9">80%*P18</f>
        <v>122400</v>
      </c>
      <c r="R24" s="270">
        <f t="shared" si="9"/>
        <v>123600</v>
      </c>
      <c r="S24" s="270">
        <f t="shared" si="9"/>
        <v>135600</v>
      </c>
      <c r="T24" s="270">
        <f t="shared" si="9"/>
        <v>160800</v>
      </c>
      <c r="U24" s="265"/>
      <c r="V24" s="8"/>
    </row>
    <row r="25" spans="1:22" ht="19.7" thickBot="1" x14ac:dyDescent="0.4">
      <c r="A25" s="66"/>
      <c r="B25" s="66"/>
      <c r="C25" s="66"/>
      <c r="D25" s="66"/>
      <c r="E25" s="66"/>
      <c r="F25" s="66"/>
      <c r="G25" s="66"/>
      <c r="H25" s="66"/>
      <c r="I25" s="66"/>
      <c r="M25" s="10" t="s">
        <v>326</v>
      </c>
      <c r="N25" s="271"/>
      <c r="O25" s="272">
        <f>SUM(O23:O24)</f>
        <v>152340</v>
      </c>
      <c r="P25" s="272">
        <f t="shared" ref="P25:T25" si="10">SUM(P23:P24)</f>
        <v>161988</v>
      </c>
      <c r="Q25" s="272">
        <f t="shared" si="10"/>
        <v>152682</v>
      </c>
      <c r="R25" s="272">
        <f t="shared" si="10"/>
        <v>156822</v>
      </c>
      <c r="S25" s="272">
        <f t="shared" si="10"/>
        <v>174996</v>
      </c>
      <c r="T25" s="272">
        <f t="shared" si="10"/>
        <v>215190</v>
      </c>
      <c r="U25" s="272"/>
      <c r="V25" s="13"/>
    </row>
    <row r="26" spans="1:22" ht="19.05" x14ac:dyDescent="0.35">
      <c r="A26" s="2"/>
      <c r="B26" s="3"/>
      <c r="C26" s="236" t="s">
        <v>283</v>
      </c>
      <c r="D26" s="236" t="s">
        <v>284</v>
      </c>
      <c r="E26" s="236" t="s">
        <v>285</v>
      </c>
      <c r="F26" s="273" t="s">
        <v>286</v>
      </c>
      <c r="U26" s="66"/>
    </row>
    <row r="27" spans="1:22" ht="19.05" x14ac:dyDescent="0.35">
      <c r="A27" s="274" t="s">
        <v>216</v>
      </c>
      <c r="B27" s="275"/>
      <c r="C27" s="253">
        <f>C6</f>
        <v>675000</v>
      </c>
      <c r="D27" s="253">
        <f t="shared" ref="D27:F27" si="11">D6</f>
        <v>420000</v>
      </c>
      <c r="E27" s="253">
        <f t="shared" si="11"/>
        <v>325000</v>
      </c>
      <c r="F27" s="253">
        <f t="shared" si="11"/>
        <v>300000</v>
      </c>
      <c r="M27" s="68" t="s">
        <v>327</v>
      </c>
      <c r="Q27" s="66"/>
      <c r="R27" s="66"/>
      <c r="S27" s="66"/>
      <c r="T27" s="66"/>
      <c r="U27" s="66"/>
    </row>
    <row r="28" spans="1:22" ht="19.05" x14ac:dyDescent="0.35">
      <c r="A28" s="276" t="s">
        <v>328</v>
      </c>
      <c r="B28" s="277"/>
      <c r="C28" s="278">
        <f>C27*$B$16*(1-0.025)</f>
        <v>394875</v>
      </c>
      <c r="D28" s="278">
        <f t="shared" ref="D28:F28" si="12">D27*$B$16*(1-0.025)</f>
        <v>245700</v>
      </c>
      <c r="E28" s="278">
        <f t="shared" si="12"/>
        <v>190125</v>
      </c>
      <c r="F28" s="279">
        <f t="shared" si="12"/>
        <v>175500</v>
      </c>
      <c r="M28" s="245" t="s">
        <v>329</v>
      </c>
      <c r="N28" s="280" t="s">
        <v>330</v>
      </c>
      <c r="O28" s="66" t="s">
        <v>331</v>
      </c>
      <c r="P28" s="66"/>
      <c r="Q28" s="66"/>
      <c r="R28" s="66"/>
      <c r="S28" s="66"/>
      <c r="T28" s="66"/>
      <c r="U28" s="66"/>
    </row>
    <row r="29" spans="1:22" ht="19.05" x14ac:dyDescent="0.35">
      <c r="A29" s="260" t="s">
        <v>332</v>
      </c>
      <c r="B29" s="253"/>
      <c r="C29" s="253">
        <f>C27*$B$19</f>
        <v>270000</v>
      </c>
      <c r="D29" s="253">
        <f t="shared" ref="D29:F29" si="13">D27*$B$19</f>
        <v>168000</v>
      </c>
      <c r="E29" s="253">
        <f t="shared" si="13"/>
        <v>130000</v>
      </c>
      <c r="F29" s="253">
        <f t="shared" si="13"/>
        <v>120000</v>
      </c>
      <c r="M29" s="66"/>
      <c r="N29" s="281" t="s">
        <v>333</v>
      </c>
      <c r="O29" s="66" t="s">
        <v>334</v>
      </c>
      <c r="P29" s="66"/>
      <c r="Q29" s="66"/>
      <c r="R29" s="66"/>
      <c r="S29" s="66"/>
      <c r="T29" s="66"/>
      <c r="U29" s="66"/>
    </row>
    <row r="30" spans="1:22" ht="19.05" x14ac:dyDescent="0.35">
      <c r="A30" s="276" t="s">
        <v>335</v>
      </c>
      <c r="B30" s="277"/>
      <c r="C30" s="253"/>
      <c r="D30" s="253"/>
      <c r="E30" s="253"/>
      <c r="F30" s="282">
        <f>B20*E29</f>
        <v>91000</v>
      </c>
      <c r="M30" s="66"/>
      <c r="N30" s="281" t="s">
        <v>336</v>
      </c>
      <c r="O30" s="66" t="s">
        <v>337</v>
      </c>
      <c r="P30" s="66"/>
      <c r="Q30" s="66"/>
      <c r="R30" s="66"/>
      <c r="S30" s="66"/>
      <c r="T30" s="66"/>
      <c r="U30" s="66"/>
    </row>
    <row r="31" spans="1:22" ht="19.05" x14ac:dyDescent="0.35">
      <c r="A31" s="260"/>
      <c r="B31" s="253"/>
      <c r="C31" s="253"/>
      <c r="D31" s="253"/>
      <c r="E31" s="253"/>
      <c r="F31" s="282">
        <f>B21*D29</f>
        <v>47040.000000000007</v>
      </c>
      <c r="M31" s="66"/>
      <c r="N31" s="283"/>
      <c r="O31" s="66" t="s">
        <v>338</v>
      </c>
      <c r="P31" s="66"/>
      <c r="Q31" s="66"/>
      <c r="R31" s="66"/>
      <c r="S31" s="66"/>
      <c r="T31" s="66"/>
      <c r="U31" s="66"/>
    </row>
    <row r="32" spans="1:22" ht="19.05" x14ac:dyDescent="0.35">
      <c r="A32" s="260"/>
      <c r="B32" s="253"/>
      <c r="C32" s="253"/>
      <c r="D32" s="253"/>
      <c r="E32" s="253"/>
      <c r="F32" s="282">
        <f>B22*C29*B23*B24</f>
        <v>2160</v>
      </c>
      <c r="M32" s="66"/>
      <c r="N32" s="284">
        <v>20</v>
      </c>
      <c r="O32" s="66" t="s">
        <v>339</v>
      </c>
      <c r="P32" s="66"/>
      <c r="Q32" s="66"/>
      <c r="R32" s="66"/>
      <c r="S32" s="66"/>
      <c r="T32" s="66"/>
    </row>
    <row r="33" spans="1:21" ht="19.7" thickBot="1" x14ac:dyDescent="0.4">
      <c r="A33" s="10"/>
      <c r="B33" s="12"/>
      <c r="C33" s="12"/>
      <c r="D33" s="12"/>
      <c r="E33" s="12"/>
      <c r="F33" s="285">
        <f>F28+F30+F31+F32</f>
        <v>315700</v>
      </c>
      <c r="N33" s="286" t="s">
        <v>340</v>
      </c>
      <c r="O33" s="66" t="s">
        <v>341</v>
      </c>
    </row>
    <row r="34" spans="1:21" ht="19.05" x14ac:dyDescent="0.35">
      <c r="A34" s="7"/>
      <c r="B34" s="7"/>
      <c r="C34" s="7"/>
      <c r="D34" s="7"/>
      <c r="E34" s="7"/>
      <c r="F34" s="287"/>
      <c r="M34" s="288"/>
      <c r="N34" s="289" t="s">
        <v>342</v>
      </c>
      <c r="O34" s="66" t="s">
        <v>343</v>
      </c>
    </row>
    <row r="35" spans="1:21" ht="19.7" thickBot="1" x14ac:dyDescent="0.4">
      <c r="A35" s="68">
        <f>N4+1</f>
        <v>1</v>
      </c>
      <c r="B35" s="68" t="s">
        <v>344</v>
      </c>
      <c r="E35" s="7"/>
      <c r="F35" s="287"/>
    </row>
    <row r="36" spans="1:21" ht="19.05" x14ac:dyDescent="0.35">
      <c r="A36" s="245" t="s">
        <v>345</v>
      </c>
      <c r="B36" s="256">
        <v>0.5</v>
      </c>
      <c r="C36" s="66" t="s">
        <v>346</v>
      </c>
      <c r="D36" s="66"/>
      <c r="E36" s="66"/>
      <c r="F36" s="66"/>
      <c r="G36" s="66"/>
      <c r="H36" s="66"/>
      <c r="I36" s="66"/>
      <c r="M36" s="290"/>
      <c r="N36" s="236"/>
      <c r="O36" s="236"/>
      <c r="P36" s="236"/>
      <c r="Q36" s="3"/>
      <c r="R36" s="236" t="str">
        <f>C3</f>
        <v>April</v>
      </c>
      <c r="S36" s="236" t="str">
        <f>D3</f>
        <v>May</v>
      </c>
      <c r="T36" s="236" t="str">
        <f>E3</f>
        <v>June</v>
      </c>
      <c r="U36" s="4"/>
    </row>
    <row r="37" spans="1:21" ht="19.05" x14ac:dyDescent="0.35">
      <c r="A37" s="245"/>
      <c r="B37" s="283" t="s">
        <v>347</v>
      </c>
      <c r="C37" s="66" t="s">
        <v>348</v>
      </c>
      <c r="D37" s="66"/>
      <c r="E37" s="66"/>
      <c r="F37" s="66"/>
      <c r="G37" s="66"/>
      <c r="H37" s="66"/>
      <c r="I37" s="66"/>
      <c r="M37" s="260" t="s">
        <v>349</v>
      </c>
      <c r="N37" s="253"/>
      <c r="O37" s="253"/>
      <c r="P37" s="253"/>
      <c r="Q37" s="253"/>
      <c r="R37" s="291">
        <f>C44</f>
        <v>1450</v>
      </c>
      <c r="S37" s="291">
        <f t="shared" ref="S37:T37" si="14">D44</f>
        <v>1350</v>
      </c>
      <c r="T37" s="291">
        <f t="shared" si="14"/>
        <v>1250</v>
      </c>
      <c r="U37" s="8"/>
    </row>
    <row r="38" spans="1:21" ht="19.05" x14ac:dyDescent="0.35">
      <c r="A38" s="245"/>
      <c r="B38" s="122"/>
      <c r="C38" s="66" t="s">
        <v>350</v>
      </c>
      <c r="D38" s="66"/>
      <c r="E38" s="66"/>
      <c r="F38" s="66"/>
      <c r="G38" s="66"/>
      <c r="H38" s="66"/>
      <c r="I38" s="66"/>
      <c r="M38" s="260" t="s">
        <v>351</v>
      </c>
      <c r="N38" s="253">
        <f>8+8</f>
        <v>16</v>
      </c>
      <c r="O38" s="292" t="s">
        <v>352</v>
      </c>
      <c r="P38" s="292"/>
      <c r="Q38" s="292"/>
      <c r="R38" s="291">
        <f>R37*$N$38</f>
        <v>23200</v>
      </c>
      <c r="S38" s="291">
        <f t="shared" ref="S38:T38" si="15">S37*$N$38</f>
        <v>21600</v>
      </c>
      <c r="T38" s="291">
        <f t="shared" si="15"/>
        <v>20000</v>
      </c>
      <c r="U38" s="8"/>
    </row>
    <row r="39" spans="1:21" ht="19.7" thickBot="1" x14ac:dyDescent="0.4">
      <c r="M39" s="260" t="s">
        <v>353</v>
      </c>
      <c r="N39" s="253">
        <v>48</v>
      </c>
      <c r="O39" s="292" t="s">
        <v>354</v>
      </c>
      <c r="P39" s="292"/>
      <c r="Q39" s="292"/>
      <c r="R39" s="293">
        <f>R38/$N$39</f>
        <v>483.33333333333331</v>
      </c>
      <c r="S39" s="293">
        <f t="shared" ref="S39:T39" si="16">S38/$N$39</f>
        <v>450</v>
      </c>
      <c r="T39" s="293">
        <f t="shared" si="16"/>
        <v>416.66666666666669</v>
      </c>
      <c r="U39" s="8"/>
    </row>
    <row r="40" spans="1:21" ht="19.05" x14ac:dyDescent="0.35">
      <c r="A40" s="257" t="s">
        <v>355</v>
      </c>
      <c r="B40" s="294"/>
      <c r="C40" s="236" t="str">
        <f>C26</f>
        <v>April</v>
      </c>
      <c r="D40" s="236" t="str">
        <f>D26</f>
        <v>May</v>
      </c>
      <c r="E40" s="236" t="str">
        <f>E26</f>
        <v>June</v>
      </c>
      <c r="F40" s="236" t="str">
        <f>F26</f>
        <v>July</v>
      </c>
      <c r="G40" s="236" t="s">
        <v>212</v>
      </c>
      <c r="H40" s="236" t="s">
        <v>213</v>
      </c>
      <c r="I40" s="236" t="s">
        <v>190</v>
      </c>
      <c r="J40" s="273" t="s">
        <v>191</v>
      </c>
      <c r="M40" s="260" t="s">
        <v>356</v>
      </c>
      <c r="N40" s="253">
        <v>160</v>
      </c>
      <c r="O40" s="292" t="s">
        <v>357</v>
      </c>
      <c r="P40" s="292"/>
      <c r="Q40" s="292"/>
      <c r="R40" s="293">
        <f>R39/$N$40</f>
        <v>3.020833333333333</v>
      </c>
      <c r="S40" s="293">
        <f t="shared" ref="S40:T40" si="17">S39/$N$40</f>
        <v>2.8125</v>
      </c>
      <c r="T40" s="293">
        <f t="shared" si="17"/>
        <v>2.604166666666667</v>
      </c>
      <c r="U40" s="8"/>
    </row>
    <row r="41" spans="1:21" ht="19.05" x14ac:dyDescent="0.35">
      <c r="A41" s="260" t="s">
        <v>358</v>
      </c>
      <c r="B41" s="253"/>
      <c r="C41" s="291">
        <f>C4:J4</f>
        <v>1500</v>
      </c>
      <c r="D41" s="291">
        <f t="shared" ref="D41:J41" si="18">D4:K4</f>
        <v>1400</v>
      </c>
      <c r="E41" s="291">
        <f t="shared" si="18"/>
        <v>1300</v>
      </c>
      <c r="F41" s="291">
        <f t="shared" si="18"/>
        <v>1200</v>
      </c>
      <c r="G41" s="291">
        <f t="shared" si="18"/>
        <v>1400</v>
      </c>
      <c r="H41" s="291">
        <f t="shared" si="18"/>
        <v>1500</v>
      </c>
      <c r="I41" s="291">
        <f t="shared" si="18"/>
        <v>2000</v>
      </c>
      <c r="J41" s="291">
        <f t="shared" si="18"/>
        <v>3000</v>
      </c>
      <c r="M41" s="260" t="s">
        <v>359</v>
      </c>
      <c r="N41" s="253"/>
      <c r="O41" s="292" t="s">
        <v>360</v>
      </c>
      <c r="P41" s="292"/>
      <c r="Q41" s="292"/>
      <c r="R41" s="253">
        <v>4</v>
      </c>
      <c r="S41" s="253">
        <v>4</v>
      </c>
      <c r="T41" s="253">
        <v>4</v>
      </c>
      <c r="U41" s="8"/>
    </row>
    <row r="42" spans="1:21" ht="19.7" thickBot="1" x14ac:dyDescent="0.4">
      <c r="A42" s="260" t="s">
        <v>361</v>
      </c>
      <c r="B42" s="253"/>
      <c r="C42" s="291">
        <f>$B$36*D41</f>
        <v>700</v>
      </c>
      <c r="D42" s="291">
        <f t="shared" ref="D42:I42" si="19">$B$36*E41</f>
        <v>650</v>
      </c>
      <c r="E42" s="291">
        <f t="shared" si="19"/>
        <v>600</v>
      </c>
      <c r="F42" s="291">
        <f t="shared" si="19"/>
        <v>700</v>
      </c>
      <c r="G42" s="291">
        <f t="shared" si="19"/>
        <v>750</v>
      </c>
      <c r="H42" s="291">
        <f t="shared" si="19"/>
        <v>1000</v>
      </c>
      <c r="I42" s="291">
        <f t="shared" si="19"/>
        <v>1500</v>
      </c>
      <c r="J42" s="295"/>
      <c r="M42" s="264" t="s">
        <v>362</v>
      </c>
      <c r="N42" s="296">
        <f>N32*1.15</f>
        <v>23</v>
      </c>
      <c r="O42" s="243"/>
      <c r="P42" s="243"/>
      <c r="Q42" s="243"/>
      <c r="R42" s="243"/>
      <c r="S42" s="243"/>
      <c r="T42" s="243"/>
      <c r="U42" s="297">
        <f>13*4*40*N42</f>
        <v>47840</v>
      </c>
    </row>
    <row r="43" spans="1:21" ht="19.05" x14ac:dyDescent="0.35">
      <c r="A43" s="260" t="s">
        <v>363</v>
      </c>
      <c r="B43" s="253"/>
      <c r="C43" s="298">
        <f>B36*C41</f>
        <v>750</v>
      </c>
      <c r="D43" s="291">
        <f>C42</f>
        <v>700</v>
      </c>
      <c r="E43" s="291">
        <f t="shared" ref="E43:I43" si="20">D42</f>
        <v>650</v>
      </c>
      <c r="F43" s="291">
        <f t="shared" si="20"/>
        <v>600</v>
      </c>
      <c r="G43" s="291">
        <f t="shared" si="20"/>
        <v>700</v>
      </c>
      <c r="H43" s="291">
        <f t="shared" si="20"/>
        <v>750</v>
      </c>
      <c r="I43" s="291">
        <f t="shared" si="20"/>
        <v>1000</v>
      </c>
      <c r="J43" s="295"/>
      <c r="M43" s="66"/>
      <c r="N43" s="66"/>
      <c r="O43" s="66"/>
      <c r="P43" s="66"/>
      <c r="Q43" s="66"/>
      <c r="R43" s="66"/>
      <c r="S43" s="66"/>
      <c r="T43" s="66"/>
    </row>
    <row r="44" spans="1:21" ht="19.7" thickBot="1" x14ac:dyDescent="0.4">
      <c r="A44" s="264" t="s">
        <v>364</v>
      </c>
      <c r="B44" s="12"/>
      <c r="C44" s="299">
        <f>C41+C42-C43</f>
        <v>1450</v>
      </c>
      <c r="D44" s="299">
        <f t="shared" ref="D44:I44" si="21">D41+D42-D43</f>
        <v>1350</v>
      </c>
      <c r="E44" s="299">
        <f t="shared" si="21"/>
        <v>1250</v>
      </c>
      <c r="F44" s="299">
        <f t="shared" si="21"/>
        <v>1300</v>
      </c>
      <c r="G44" s="299">
        <f t="shared" si="21"/>
        <v>1450</v>
      </c>
      <c r="H44" s="299">
        <f t="shared" si="21"/>
        <v>1750</v>
      </c>
      <c r="I44" s="299">
        <f t="shared" si="21"/>
        <v>2500</v>
      </c>
      <c r="J44" s="13"/>
    </row>
  </sheetData>
  <mergeCells count="3">
    <mergeCell ref="C2:E2"/>
    <mergeCell ref="F2:H2"/>
    <mergeCell ref="I2:K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58"/>
  <sheetViews>
    <sheetView workbookViewId="0">
      <selection activeCell="B22" sqref="B22"/>
    </sheetView>
  </sheetViews>
  <sheetFormatPr defaultColWidth="8.75" defaultRowHeight="14.3" x14ac:dyDescent="0.25"/>
  <cols>
    <col min="1" max="1" width="28.5" customWidth="1"/>
    <col min="2" max="2" width="17.5" customWidth="1"/>
    <col min="3" max="3" width="28.125" customWidth="1"/>
    <col min="4" max="6" width="12.75" customWidth="1"/>
    <col min="7" max="7" width="13.5" customWidth="1"/>
    <col min="8" max="8" width="7.25" customWidth="1"/>
    <col min="9" max="9" width="18.125" customWidth="1"/>
    <col min="10" max="10" width="12.75" customWidth="1"/>
    <col min="11" max="11" width="28.125" bestFit="1" customWidth="1"/>
  </cols>
  <sheetData>
    <row r="1" spans="1:15" x14ac:dyDescent="0.25">
      <c r="A1" s="813" t="s">
        <v>810</v>
      </c>
    </row>
    <row r="2" spans="1:15" x14ac:dyDescent="0.25">
      <c r="A2" t="s">
        <v>811</v>
      </c>
    </row>
    <row r="3" spans="1:15" x14ac:dyDescent="0.25">
      <c r="A3" t="s">
        <v>812</v>
      </c>
    </row>
    <row r="4" spans="1:15" x14ac:dyDescent="0.25">
      <c r="D4" s="814" t="s">
        <v>813</v>
      </c>
      <c r="E4" s="814" t="s">
        <v>283</v>
      </c>
      <c r="F4" s="814" t="s">
        <v>814</v>
      </c>
      <c r="I4" s="815" t="s">
        <v>815</v>
      </c>
      <c r="J4" s="816" t="s">
        <v>816</v>
      </c>
      <c r="K4" s="816" t="s">
        <v>817</v>
      </c>
      <c r="L4" s="817">
        <v>0.25</v>
      </c>
      <c r="M4" s="816" t="s">
        <v>818</v>
      </c>
      <c r="N4" s="816"/>
      <c r="O4" s="816"/>
    </row>
    <row r="5" spans="1:15" x14ac:dyDescent="0.25">
      <c r="A5" t="s">
        <v>819</v>
      </c>
      <c r="D5" s="818">
        <v>800</v>
      </c>
      <c r="E5" s="818">
        <v>1200</v>
      </c>
      <c r="F5" s="818">
        <v>2000</v>
      </c>
    </row>
    <row r="6" spans="1:15" x14ac:dyDescent="0.25">
      <c r="A6" t="s">
        <v>820</v>
      </c>
      <c r="I6" s="819" t="s">
        <v>821</v>
      </c>
      <c r="J6" t="s">
        <v>822</v>
      </c>
      <c r="K6" t="s">
        <v>823</v>
      </c>
      <c r="L6" s="122">
        <v>0.2</v>
      </c>
      <c r="M6" t="s">
        <v>824</v>
      </c>
    </row>
    <row r="7" spans="1:15" x14ac:dyDescent="0.25">
      <c r="A7" t="s">
        <v>825</v>
      </c>
    </row>
    <row r="8" spans="1:15" x14ac:dyDescent="0.25">
      <c r="A8" t="s">
        <v>826</v>
      </c>
    </row>
    <row r="9" spans="1:15" x14ac:dyDescent="0.25">
      <c r="A9" t="s">
        <v>827</v>
      </c>
    </row>
    <row r="10" spans="1:15" x14ac:dyDescent="0.25">
      <c r="A10" t="s">
        <v>828</v>
      </c>
    </row>
    <row r="11" spans="1:15" x14ac:dyDescent="0.25">
      <c r="A11" t="s">
        <v>829</v>
      </c>
    </row>
    <row r="12" spans="1:15" x14ac:dyDescent="0.25">
      <c r="A12" t="s">
        <v>830</v>
      </c>
    </row>
    <row r="14" spans="1:15" x14ac:dyDescent="0.25">
      <c r="A14" t="s">
        <v>831</v>
      </c>
    </row>
    <row r="15" spans="1:15" x14ac:dyDescent="0.25">
      <c r="A15" t="s">
        <v>832</v>
      </c>
    </row>
    <row r="16" spans="1:15" x14ac:dyDescent="0.25">
      <c r="A16" t="s">
        <v>833</v>
      </c>
    </row>
    <row r="18" spans="1:9" x14ac:dyDescent="0.25">
      <c r="A18" t="s">
        <v>834</v>
      </c>
    </row>
    <row r="19" spans="1:9" x14ac:dyDescent="0.25">
      <c r="A19" t="s">
        <v>835</v>
      </c>
    </row>
    <row r="20" spans="1:9" x14ac:dyDescent="0.25">
      <c r="A20" t="s">
        <v>836</v>
      </c>
    </row>
    <row r="21" spans="1:9" x14ac:dyDescent="0.25">
      <c r="A21" s="820" t="s">
        <v>837</v>
      </c>
    </row>
    <row r="22" spans="1:9" x14ac:dyDescent="0.25">
      <c r="A22" s="821" t="s">
        <v>817</v>
      </c>
      <c r="B22" s="820"/>
      <c r="C22" s="820" t="s">
        <v>194</v>
      </c>
      <c r="D22" s="822" t="s">
        <v>838</v>
      </c>
      <c r="E22" s="822" t="s">
        <v>283</v>
      </c>
      <c r="F22" s="822" t="s">
        <v>284</v>
      </c>
      <c r="G22" s="822" t="s">
        <v>285</v>
      </c>
    </row>
    <row r="23" spans="1:9" x14ac:dyDescent="0.25">
      <c r="A23" s="820" t="s">
        <v>839</v>
      </c>
      <c r="B23" s="122"/>
      <c r="C23" s="122"/>
      <c r="D23" s="823"/>
      <c r="E23" s="823"/>
      <c r="F23" s="823"/>
      <c r="G23" s="1"/>
    </row>
    <row r="24" spans="1:9" x14ac:dyDescent="0.25">
      <c r="A24" t="s">
        <v>840</v>
      </c>
      <c r="B24" s="122"/>
      <c r="C24" s="824"/>
      <c r="D24" s="136"/>
      <c r="E24" s="136"/>
      <c r="F24" s="136"/>
    </row>
    <row r="25" spans="1:9" x14ac:dyDescent="0.25">
      <c r="A25" t="s">
        <v>841</v>
      </c>
      <c r="D25" s="825"/>
      <c r="E25" s="136"/>
      <c r="F25" s="136"/>
      <c r="I25" s="106" t="s">
        <v>842</v>
      </c>
    </row>
    <row r="26" spans="1:9" ht="14.95" thickBot="1" x14ac:dyDescent="0.3">
      <c r="A26" t="s">
        <v>843</v>
      </c>
      <c r="B26" s="820"/>
      <c r="C26" s="820"/>
      <c r="D26" s="826"/>
      <c r="E26" s="826"/>
      <c r="F26" s="826"/>
    </row>
    <row r="27" spans="1:9" ht="12.1" customHeight="1" thickTop="1" x14ac:dyDescent="0.25">
      <c r="A27" s="820"/>
      <c r="D27" s="823"/>
      <c r="E27" s="823"/>
      <c r="F27" s="823"/>
    </row>
    <row r="28" spans="1:9" x14ac:dyDescent="0.25">
      <c r="A28" s="820" t="s">
        <v>844</v>
      </c>
    </row>
    <row r="29" spans="1:9" x14ac:dyDescent="0.25">
      <c r="A29" s="827" t="s">
        <v>845</v>
      </c>
      <c r="B29" s="822"/>
      <c r="C29" s="822" t="s">
        <v>194</v>
      </c>
      <c r="D29" s="822" t="s">
        <v>838</v>
      </c>
      <c r="E29" s="822" t="s">
        <v>283</v>
      </c>
      <c r="F29" s="822" t="s">
        <v>284</v>
      </c>
    </row>
    <row r="30" spans="1:9" ht="14.95" thickBot="1" x14ac:dyDescent="0.3">
      <c r="A30" t="str">
        <f>A26</f>
        <v>Production FG UNITS</v>
      </c>
      <c r="D30" s="136"/>
      <c r="E30" s="136"/>
      <c r="F30" s="136"/>
    </row>
    <row r="31" spans="1:9" ht="14.95" thickBot="1" x14ac:dyDescent="0.3">
      <c r="A31" t="s">
        <v>846</v>
      </c>
      <c r="B31" s="828"/>
      <c r="C31" s="828"/>
      <c r="D31" s="136"/>
      <c r="E31" s="136"/>
      <c r="F31" s="136"/>
      <c r="G31" s="829" t="s">
        <v>847</v>
      </c>
      <c r="H31" s="830"/>
      <c r="I31" s="831"/>
    </row>
    <row r="32" spans="1:9" x14ac:dyDescent="0.25">
      <c r="A32" t="s">
        <v>848</v>
      </c>
      <c r="B32" s="136"/>
      <c r="C32" s="136"/>
      <c r="D32" s="136"/>
      <c r="E32" s="136"/>
      <c r="F32" s="136"/>
    </row>
    <row r="33" spans="1:11" x14ac:dyDescent="0.25">
      <c r="A33" t="s">
        <v>849</v>
      </c>
      <c r="B33" s="136"/>
      <c r="C33" s="136"/>
      <c r="D33" s="825"/>
      <c r="E33" s="136"/>
      <c r="F33" s="136"/>
      <c r="I33" s="106" t="s">
        <v>850</v>
      </c>
    </row>
    <row r="34" spans="1:11" x14ac:dyDescent="0.25">
      <c r="A34" t="s">
        <v>312</v>
      </c>
      <c r="B34" s="136"/>
      <c r="C34" s="136"/>
      <c r="D34" s="136"/>
      <c r="E34" s="136"/>
      <c r="F34" s="136"/>
    </row>
    <row r="35" spans="1:11" ht="14.95" thickBot="1" x14ac:dyDescent="0.3">
      <c r="A35" s="820" t="s">
        <v>851</v>
      </c>
      <c r="B35" s="832">
        <v>16</v>
      </c>
      <c r="C35" s="832" t="s">
        <v>852</v>
      </c>
      <c r="D35" s="833">
        <f>D34*B35</f>
        <v>0</v>
      </c>
      <c r="E35" s="833">
        <f>E34*B35</f>
        <v>0</v>
      </c>
      <c r="F35" s="833"/>
    </row>
    <row r="36" spans="1:11" ht="14.95" thickTop="1" x14ac:dyDescent="0.25"/>
    <row r="37" spans="1:11" x14ac:dyDescent="0.25">
      <c r="A37" s="834" t="s">
        <v>853</v>
      </c>
      <c r="B37" s="835"/>
      <c r="C37" s="835"/>
      <c r="D37" s="835"/>
      <c r="E37" s="835"/>
      <c r="F37" s="835"/>
    </row>
    <row r="38" spans="1:11" ht="14.95" thickBot="1" x14ac:dyDescent="0.3">
      <c r="A38" s="836" t="s">
        <v>854</v>
      </c>
      <c r="B38" s="835"/>
      <c r="C38" s="835"/>
      <c r="D38" s="837" t="s">
        <v>838</v>
      </c>
      <c r="E38" s="837" t="s">
        <v>283</v>
      </c>
      <c r="F38" s="835"/>
    </row>
    <row r="39" spans="1:11" x14ac:dyDescent="0.25">
      <c r="A39" s="835" t="str">
        <f>A26</f>
        <v>Production FG UNITS</v>
      </c>
      <c r="B39" s="835"/>
      <c r="C39" s="835"/>
      <c r="D39" s="838"/>
      <c r="E39" s="838"/>
      <c r="F39" s="835"/>
      <c r="I39" s="839"/>
      <c r="J39" s="840" t="s">
        <v>813</v>
      </c>
      <c r="K39" s="841" t="s">
        <v>283</v>
      </c>
    </row>
    <row r="40" spans="1:11" x14ac:dyDescent="0.25">
      <c r="A40" s="835" t="s">
        <v>351</v>
      </c>
      <c r="B40" s="835"/>
      <c r="C40" s="842" t="s">
        <v>352</v>
      </c>
      <c r="D40" s="835"/>
      <c r="E40" s="835"/>
      <c r="F40" s="835"/>
      <c r="I40" s="843" t="s">
        <v>855</v>
      </c>
      <c r="J40" s="844">
        <f>D41*B41/60</f>
        <v>0</v>
      </c>
      <c r="K40" s="845">
        <f>E41*B41/60</f>
        <v>0</v>
      </c>
    </row>
    <row r="41" spans="1:11" x14ac:dyDescent="0.25">
      <c r="A41" s="835" t="s">
        <v>353</v>
      </c>
      <c r="B41" s="835"/>
      <c r="C41" s="842" t="s">
        <v>354</v>
      </c>
      <c r="D41" s="846"/>
      <c r="E41" s="846"/>
      <c r="F41" s="835" t="s">
        <v>856</v>
      </c>
      <c r="I41" s="843" t="s">
        <v>857</v>
      </c>
      <c r="J41" s="844">
        <f>D41*12/60</f>
        <v>0</v>
      </c>
      <c r="K41" s="845">
        <f>E41*12/60</f>
        <v>0</v>
      </c>
    </row>
    <row r="42" spans="1:11" ht="14.95" thickBot="1" x14ac:dyDescent="0.3">
      <c r="A42" s="835" t="s">
        <v>356</v>
      </c>
      <c r="B42" s="835"/>
      <c r="C42" s="842" t="s">
        <v>357</v>
      </c>
      <c r="D42" s="835"/>
      <c r="E42" s="835"/>
      <c r="F42" s="835"/>
      <c r="I42" s="847" t="s">
        <v>858</v>
      </c>
      <c r="J42" s="848">
        <f>SUM(J40:J41)</f>
        <v>0</v>
      </c>
      <c r="K42" s="849">
        <f>SUM(K40:K41)</f>
        <v>0</v>
      </c>
    </row>
    <row r="43" spans="1:11" x14ac:dyDescent="0.25">
      <c r="A43" s="835" t="s">
        <v>359</v>
      </c>
      <c r="B43" s="835"/>
      <c r="C43" s="842" t="s">
        <v>360</v>
      </c>
      <c r="D43" s="835"/>
      <c r="E43" s="835"/>
      <c r="F43" s="835"/>
    </row>
    <row r="44" spans="1:11" ht="14.95" thickBot="1" x14ac:dyDescent="0.3">
      <c r="A44" s="834" t="s">
        <v>362</v>
      </c>
      <c r="B44" s="850"/>
      <c r="C44" s="850"/>
      <c r="D44" s="851">
        <f>B44*D43*B42</f>
        <v>0</v>
      </c>
      <c r="E44" s="851">
        <f>B44*E43*B42</f>
        <v>0</v>
      </c>
      <c r="F44" s="852"/>
    </row>
    <row r="45" spans="1:11" ht="14.95" thickTop="1" x14ac:dyDescent="0.25">
      <c r="B45" s="74"/>
      <c r="C45" s="74"/>
      <c r="D45" s="58"/>
      <c r="E45" s="58"/>
    </row>
    <row r="46" spans="1:11" x14ac:dyDescent="0.25">
      <c r="A46" s="1" t="s">
        <v>859</v>
      </c>
    </row>
    <row r="47" spans="1:11" x14ac:dyDescent="0.25">
      <c r="A47" s="813" t="s">
        <v>860</v>
      </c>
      <c r="D47" s="822" t="s">
        <v>838</v>
      </c>
      <c r="E47" s="822" t="s">
        <v>283</v>
      </c>
    </row>
    <row r="48" spans="1:11" x14ac:dyDescent="0.25">
      <c r="A48" t="str">
        <f>A26</f>
        <v>Production FG UNITS</v>
      </c>
      <c r="D48" s="136">
        <f>D26</f>
        <v>0</v>
      </c>
      <c r="E48" s="136">
        <f>E26</f>
        <v>0</v>
      </c>
    </row>
    <row r="49" spans="1:5" ht="14.95" thickBot="1" x14ac:dyDescent="0.3">
      <c r="A49" t="s">
        <v>861</v>
      </c>
      <c r="B49" s="853" t="s">
        <v>862</v>
      </c>
      <c r="C49" s="74" t="e">
        <f>44000/(D26+E26+F26)</f>
        <v>#DIV/0!</v>
      </c>
      <c r="D49" s="854" t="e">
        <f>D48*C49</f>
        <v>#DIV/0!</v>
      </c>
      <c r="E49" s="854" t="e">
        <f>E48*C49</f>
        <v>#DIV/0!</v>
      </c>
    </row>
    <row r="50" spans="1:5" ht="14.95" thickTop="1" x14ac:dyDescent="0.25"/>
    <row r="51" spans="1:5" x14ac:dyDescent="0.25">
      <c r="A51" s="1" t="s">
        <v>863</v>
      </c>
    </row>
    <row r="52" spans="1:5" x14ac:dyDescent="0.25">
      <c r="A52" s="813" t="s">
        <v>864</v>
      </c>
      <c r="D52" s="822" t="s">
        <v>838</v>
      </c>
      <c r="E52" s="822" t="s">
        <v>283</v>
      </c>
    </row>
    <row r="53" spans="1:5" x14ac:dyDescent="0.25">
      <c r="A53" t="str">
        <f>A26</f>
        <v>Production FG UNITS</v>
      </c>
      <c r="D53" s="136">
        <f>D26</f>
        <v>0</v>
      </c>
      <c r="E53" s="136">
        <f>E26</f>
        <v>0</v>
      </c>
    </row>
    <row r="54" spans="1:5" x14ac:dyDescent="0.25">
      <c r="A54" t="str">
        <f>A35</f>
        <v>RM Cost</v>
      </c>
      <c r="B54" s="74" t="s">
        <v>865</v>
      </c>
      <c r="C54" s="74"/>
      <c r="D54" s="58">
        <f>B35*D26*B31</f>
        <v>0</v>
      </c>
      <c r="E54" s="58">
        <f>E31*B35</f>
        <v>0</v>
      </c>
    </row>
    <row r="55" spans="1:5" x14ac:dyDescent="0.25">
      <c r="A55" t="str">
        <f>A44</f>
        <v>Direct Labor Cost</v>
      </c>
      <c r="D55" s="58">
        <f>D44</f>
        <v>0</v>
      </c>
      <c r="E55" s="58">
        <f>E44</f>
        <v>0</v>
      </c>
    </row>
    <row r="56" spans="1:5" x14ac:dyDescent="0.25">
      <c r="A56" t="str">
        <f>A49</f>
        <v>Mfg Overhead Cost</v>
      </c>
      <c r="D56" s="58" t="e">
        <f>D49</f>
        <v>#DIV/0!</v>
      </c>
      <c r="E56" s="58" t="e">
        <f>E49</f>
        <v>#DIV/0!</v>
      </c>
    </row>
    <row r="57" spans="1:5" ht="14.95" thickBot="1" x14ac:dyDescent="0.3">
      <c r="A57" t="s">
        <v>864</v>
      </c>
      <c r="D57" s="855" t="e">
        <f>SUM(D54:D56)/D53</f>
        <v>#DIV/0!</v>
      </c>
      <c r="E57" s="855" t="e">
        <f>SUM(E54:E56)/E53</f>
        <v>#DIV/0!</v>
      </c>
    </row>
    <row r="58" spans="1:5" ht="20.25" customHeight="1" thickTop="1" x14ac:dyDescent="0.25">
      <c r="B58" t="s">
        <v>866</v>
      </c>
      <c r="D58" s="74"/>
      <c r="E58" s="74"/>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P5:S15"/>
  <sheetViews>
    <sheetView zoomScale="120" zoomScaleNormal="120" workbookViewId="0">
      <selection activeCell="E31" sqref="E31"/>
    </sheetView>
  </sheetViews>
  <sheetFormatPr defaultRowHeight="14.3" x14ac:dyDescent="0.25"/>
  <cols>
    <col min="18" max="18" width="15" customWidth="1"/>
    <col min="19" max="19" width="11.625" bestFit="1" customWidth="1"/>
  </cols>
  <sheetData>
    <row r="5" spans="16:19" x14ac:dyDescent="0.25">
      <c r="P5" s="1" t="s">
        <v>399</v>
      </c>
    </row>
    <row r="7" spans="16:19" x14ac:dyDescent="0.25">
      <c r="P7" t="s">
        <v>400</v>
      </c>
      <c r="Q7">
        <f>4000*30</f>
        <v>120000</v>
      </c>
    </row>
    <row r="9" spans="16:19" x14ac:dyDescent="0.25">
      <c r="P9" t="s">
        <v>401</v>
      </c>
      <c r="S9">
        <f>25%*Q7*0.975</f>
        <v>29250</v>
      </c>
    </row>
    <row r="11" spans="16:19" x14ac:dyDescent="0.25">
      <c r="P11" t="s">
        <v>402</v>
      </c>
      <c r="S11">
        <f>75%*70%*2000*28</f>
        <v>29399.999999999993</v>
      </c>
    </row>
    <row r="13" spans="16:19" x14ac:dyDescent="0.25">
      <c r="P13" t="s">
        <v>403</v>
      </c>
      <c r="S13">
        <f>36000*30%</f>
        <v>10800</v>
      </c>
    </row>
    <row r="15" spans="16:19" x14ac:dyDescent="0.25">
      <c r="S15" s="323">
        <f>SUM(S9:S13)</f>
        <v>69450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P6:T26"/>
  <sheetViews>
    <sheetView zoomScaleNormal="100" workbookViewId="0">
      <selection activeCell="I40" sqref="I40"/>
    </sheetView>
  </sheetViews>
  <sheetFormatPr defaultRowHeight="14.3" x14ac:dyDescent="0.25"/>
  <cols>
    <col min="17" max="17" width="10.5" customWidth="1"/>
  </cols>
  <sheetData>
    <row r="6" spans="16:18" x14ac:dyDescent="0.25">
      <c r="P6" t="s">
        <v>389</v>
      </c>
    </row>
    <row r="7" spans="16:18" x14ac:dyDescent="0.25">
      <c r="P7" t="s">
        <v>390</v>
      </c>
    </row>
    <row r="9" spans="16:18" x14ac:dyDescent="0.25">
      <c r="R9" t="s">
        <v>212</v>
      </c>
    </row>
    <row r="10" spans="16:18" x14ac:dyDescent="0.25">
      <c r="P10" t="s">
        <v>391</v>
      </c>
      <c r="R10">
        <v>15000</v>
      </c>
    </row>
    <row r="11" spans="16:18" x14ac:dyDescent="0.25">
      <c r="P11" s="322" t="s">
        <v>392</v>
      </c>
      <c r="R11">
        <v>0</v>
      </c>
    </row>
    <row r="12" spans="16:18" x14ac:dyDescent="0.25">
      <c r="P12" s="322" t="s">
        <v>393</v>
      </c>
      <c r="R12">
        <v>0</v>
      </c>
    </row>
    <row r="13" spans="16:18" x14ac:dyDescent="0.25">
      <c r="P13" t="s">
        <v>394</v>
      </c>
      <c r="R13" s="1">
        <f>R10+R11-R12</f>
        <v>15000</v>
      </c>
    </row>
    <row r="20" spans="16:20" x14ac:dyDescent="0.25">
      <c r="R20" t="s">
        <v>286</v>
      </c>
      <c r="S20" t="s">
        <v>212</v>
      </c>
      <c r="T20" t="s">
        <v>213</v>
      </c>
    </row>
    <row r="21" spans="16:20" x14ac:dyDescent="0.25">
      <c r="P21" t="s">
        <v>394</v>
      </c>
      <c r="S21" s="1">
        <f>R13</f>
        <v>15000</v>
      </c>
      <c r="T21">
        <v>16000</v>
      </c>
    </row>
    <row r="22" spans="16:20" x14ac:dyDescent="0.25">
      <c r="P22" t="s">
        <v>395</v>
      </c>
      <c r="S22">
        <f>S21*4</f>
        <v>60000</v>
      </c>
      <c r="T22">
        <f>T21*4</f>
        <v>64000</v>
      </c>
    </row>
    <row r="23" spans="16:20" x14ac:dyDescent="0.25">
      <c r="P23" s="322" t="s">
        <v>397</v>
      </c>
      <c r="R23">
        <f>30%*S22</f>
        <v>18000</v>
      </c>
      <c r="S23">
        <f>30%*T22</f>
        <v>19200</v>
      </c>
    </row>
    <row r="24" spans="16:20" x14ac:dyDescent="0.25">
      <c r="P24" s="322" t="s">
        <v>396</v>
      </c>
      <c r="S24">
        <f>R23</f>
        <v>18000</v>
      </c>
    </row>
    <row r="25" spans="16:20" ht="14.95" thickBot="1" x14ac:dyDescent="0.3">
      <c r="P25" t="s">
        <v>398</v>
      </c>
      <c r="S25" s="16">
        <f>S22+S23-S24</f>
        <v>61200</v>
      </c>
    </row>
    <row r="26" spans="16:20" ht="14.95" thickTop="1"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9:I29"/>
  <sheetViews>
    <sheetView zoomScale="120" zoomScaleNormal="120" workbookViewId="0">
      <selection activeCell="L26" sqref="L26"/>
    </sheetView>
  </sheetViews>
  <sheetFormatPr defaultRowHeight="14.3" x14ac:dyDescent="0.25"/>
  <cols>
    <col min="5" max="5" width="15.125" customWidth="1"/>
  </cols>
  <sheetData>
    <row r="19" spans="2:9" x14ac:dyDescent="0.25">
      <c r="B19" t="s">
        <v>379</v>
      </c>
      <c r="F19" t="s">
        <v>285</v>
      </c>
      <c r="G19" s="300" t="s">
        <v>286</v>
      </c>
      <c r="H19" t="s">
        <v>212</v>
      </c>
      <c r="I19" t="s">
        <v>213</v>
      </c>
    </row>
    <row r="20" spans="2:9" x14ac:dyDescent="0.25">
      <c r="B20" t="s">
        <v>380</v>
      </c>
      <c r="E20" t="s">
        <v>382</v>
      </c>
      <c r="G20">
        <v>2300</v>
      </c>
      <c r="H20">
        <v>2500</v>
      </c>
      <c r="I20">
        <v>2100</v>
      </c>
    </row>
    <row r="21" spans="2:9" x14ac:dyDescent="0.25">
      <c r="E21" s="322" t="s">
        <v>384</v>
      </c>
      <c r="F21">
        <f>40%*G20</f>
        <v>920</v>
      </c>
      <c r="G21">
        <f>40%*H20</f>
        <v>1000</v>
      </c>
      <c r="H21">
        <f>40%*I20</f>
        <v>840</v>
      </c>
    </row>
    <row r="22" spans="2:9" x14ac:dyDescent="0.25">
      <c r="E22" s="322" t="s">
        <v>385</v>
      </c>
      <c r="G22">
        <f>F21</f>
        <v>920</v>
      </c>
      <c r="H22">
        <f>G21</f>
        <v>1000</v>
      </c>
    </row>
    <row r="23" spans="2:9" ht="14.95" thickBot="1" x14ac:dyDescent="0.3">
      <c r="E23" t="s">
        <v>381</v>
      </c>
      <c r="G23" s="16">
        <f>G20+G21-G22</f>
        <v>2380</v>
      </c>
      <c r="H23">
        <f>H20+H21-H22</f>
        <v>2340</v>
      </c>
    </row>
    <row r="24" spans="2:9" ht="14.95" thickTop="1" x14ac:dyDescent="0.25"/>
    <row r="25" spans="2:9" x14ac:dyDescent="0.25">
      <c r="E25" t="s">
        <v>383</v>
      </c>
      <c r="G25">
        <f>G23*4</f>
        <v>9520</v>
      </c>
      <c r="H25">
        <f>H23*4</f>
        <v>9360</v>
      </c>
    </row>
    <row r="26" spans="2:9" x14ac:dyDescent="0.25">
      <c r="E26" s="322" t="s">
        <v>386</v>
      </c>
      <c r="F26">
        <f>60%*G25</f>
        <v>5712</v>
      </c>
      <c r="G26">
        <f>60%*H25</f>
        <v>5616</v>
      </c>
    </row>
    <row r="27" spans="2:9" x14ac:dyDescent="0.25">
      <c r="E27" s="322" t="s">
        <v>387</v>
      </c>
      <c r="G27">
        <f>F26</f>
        <v>5712</v>
      </c>
    </row>
    <row r="28" spans="2:9" ht="14.95" thickBot="1" x14ac:dyDescent="0.3">
      <c r="E28" t="s">
        <v>388</v>
      </c>
      <c r="G28" s="16">
        <f>G25+G26-G27</f>
        <v>9424</v>
      </c>
    </row>
    <row r="29" spans="2:9" ht="14.95" thickTop="1"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H26"/>
  <sheetViews>
    <sheetView zoomScaleNormal="100" workbookViewId="0">
      <selection activeCell="L30" sqref="L30"/>
    </sheetView>
  </sheetViews>
  <sheetFormatPr defaultRowHeight="14.3" x14ac:dyDescent="0.25"/>
  <cols>
    <col min="3" max="3" width="17.75" customWidth="1"/>
    <col min="4" max="4" width="7" customWidth="1"/>
    <col min="5" max="5" width="10.125" customWidth="1"/>
    <col min="6" max="6" width="12" customWidth="1"/>
    <col min="8" max="8" width="13.75" customWidth="1"/>
    <col min="9" max="9" width="7.25" customWidth="1"/>
    <col min="10" max="10" width="17.75" customWidth="1"/>
    <col min="11" max="11" width="13.75" customWidth="1"/>
    <col min="12" max="12" width="10" customWidth="1"/>
    <col min="13" max="13" width="17.75" customWidth="1"/>
    <col min="14" max="14" width="13.75" customWidth="1"/>
  </cols>
  <sheetData>
    <row r="1" spans="2:8" ht="19.7" thickBot="1" x14ac:dyDescent="0.4">
      <c r="B1" s="65" t="s">
        <v>54</v>
      </c>
      <c r="C1" s="66" t="s">
        <v>55</v>
      </c>
    </row>
    <row r="2" spans="2:8" ht="19.05" x14ac:dyDescent="0.35">
      <c r="C2" s="66" t="s">
        <v>56</v>
      </c>
    </row>
    <row r="3" spans="2:8" ht="19.05" x14ac:dyDescent="0.35">
      <c r="C3" s="66" t="s">
        <v>57</v>
      </c>
    </row>
    <row r="4" spans="2:8" ht="19.05" x14ac:dyDescent="0.35">
      <c r="C4" s="66" t="s">
        <v>58</v>
      </c>
    </row>
    <row r="5" spans="2:8" ht="19.05" x14ac:dyDescent="0.35">
      <c r="C5" s="66" t="s">
        <v>59</v>
      </c>
    </row>
    <row r="6" spans="2:8" ht="19.05" x14ac:dyDescent="0.35">
      <c r="C6" s="66"/>
    </row>
    <row r="7" spans="2:8" ht="19.05" x14ac:dyDescent="0.35">
      <c r="C7" s="67" t="s">
        <v>60</v>
      </c>
    </row>
    <row r="9" spans="2:8" ht="19.05" x14ac:dyDescent="0.35">
      <c r="C9" s="68" t="s">
        <v>61</v>
      </c>
    </row>
    <row r="10" spans="2:8" ht="19.05" x14ac:dyDescent="0.35">
      <c r="C10" s="68" t="s">
        <v>62</v>
      </c>
    </row>
    <row r="12" spans="2:8" x14ac:dyDescent="0.25">
      <c r="G12" t="s">
        <v>63</v>
      </c>
    </row>
    <row r="13" spans="2:8" x14ac:dyDescent="0.25">
      <c r="C13" t="s">
        <v>64</v>
      </c>
      <c r="D13">
        <v>2</v>
      </c>
      <c r="E13" s="69">
        <v>5</v>
      </c>
      <c r="G13" s="69">
        <f>D13*E13</f>
        <v>10</v>
      </c>
    </row>
    <row r="14" spans="2:8" x14ac:dyDescent="0.25">
      <c r="C14" t="s">
        <v>65</v>
      </c>
      <c r="D14">
        <v>1</v>
      </c>
      <c r="E14" s="69">
        <v>10</v>
      </c>
      <c r="G14" s="69">
        <f>D14*E14</f>
        <v>10</v>
      </c>
    </row>
    <row r="15" spans="2:8" x14ac:dyDescent="0.25">
      <c r="C15" t="s">
        <v>66</v>
      </c>
      <c r="D15">
        <v>10000</v>
      </c>
      <c r="E15" s="69">
        <v>100000</v>
      </c>
      <c r="G15" s="69">
        <f>E15/D15</f>
        <v>10</v>
      </c>
    </row>
    <row r="16" spans="2:8" x14ac:dyDescent="0.25">
      <c r="G16" s="70">
        <f>SUM(G13:G15)</f>
        <v>30</v>
      </c>
      <c r="H16" t="s">
        <v>183</v>
      </c>
    </row>
    <row r="17" spans="3:8" x14ac:dyDescent="0.25">
      <c r="G17" s="69"/>
    </row>
    <row r="18" spans="3:8" x14ac:dyDescent="0.25">
      <c r="C18" t="s">
        <v>64</v>
      </c>
      <c r="D18">
        <v>2</v>
      </c>
      <c r="E18" s="69">
        <v>5</v>
      </c>
      <c r="G18" s="69">
        <f>D18*E18</f>
        <v>10</v>
      </c>
    </row>
    <row r="19" spans="3:8" x14ac:dyDescent="0.25">
      <c r="C19" t="s">
        <v>65</v>
      </c>
      <c r="D19">
        <v>1</v>
      </c>
      <c r="E19" s="69">
        <v>10</v>
      </c>
      <c r="G19" s="69">
        <f>D19*E19</f>
        <v>10</v>
      </c>
    </row>
    <row r="20" spans="3:8" x14ac:dyDescent="0.25">
      <c r="C20" t="s">
        <v>67</v>
      </c>
      <c r="D20">
        <f>D15*D14</f>
        <v>10000</v>
      </c>
      <c r="E20" s="69">
        <f>E15</f>
        <v>100000</v>
      </c>
      <c r="G20" s="69">
        <f>E20/D20</f>
        <v>10</v>
      </c>
    </row>
    <row r="21" spans="3:8" x14ac:dyDescent="0.25">
      <c r="E21" s="69"/>
      <c r="G21" s="70">
        <f>SUM(G18:G20)</f>
        <v>30</v>
      </c>
      <c r="H21" t="str">
        <f>H16</f>
        <v>Mfg cost per unit</v>
      </c>
    </row>
    <row r="22" spans="3:8" x14ac:dyDescent="0.25">
      <c r="E22" s="69"/>
    </row>
    <row r="23" spans="3:8" x14ac:dyDescent="0.25">
      <c r="C23" t="s">
        <v>64</v>
      </c>
      <c r="D23">
        <v>2</v>
      </c>
      <c r="E23" s="69">
        <v>5</v>
      </c>
      <c r="G23" s="69">
        <f>D23*E23</f>
        <v>10</v>
      </c>
    </row>
    <row r="24" spans="3:8" x14ac:dyDescent="0.25">
      <c r="C24" t="s">
        <v>65</v>
      </c>
      <c r="D24">
        <v>1</v>
      </c>
      <c r="E24" s="69">
        <v>10</v>
      </c>
      <c r="G24" s="69">
        <f>D24*E24</f>
        <v>10</v>
      </c>
    </row>
    <row r="25" spans="3:8" x14ac:dyDescent="0.25">
      <c r="C25" t="s">
        <v>68</v>
      </c>
      <c r="D25">
        <f>10000*0.5</f>
        <v>5000</v>
      </c>
      <c r="E25" s="71">
        <v>100000</v>
      </c>
      <c r="F25" s="71">
        <f>E25/D25</f>
        <v>20</v>
      </c>
      <c r="G25" s="72">
        <f>F25*0.5</f>
        <v>10</v>
      </c>
    </row>
    <row r="26" spans="3:8" x14ac:dyDescent="0.25">
      <c r="F26" t="s">
        <v>69</v>
      </c>
      <c r="G26" s="70">
        <f>SUM(G23:G25)</f>
        <v>30</v>
      </c>
      <c r="H26" t="str">
        <f>H21</f>
        <v>Mfg cost per unit</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J21"/>
  <sheetViews>
    <sheetView zoomScaleNormal="100" workbookViewId="0">
      <selection activeCell="I30" sqref="I30"/>
    </sheetView>
  </sheetViews>
  <sheetFormatPr defaultRowHeight="14.3" x14ac:dyDescent="0.25"/>
  <cols>
    <col min="3" max="3" width="24.375" customWidth="1"/>
    <col min="4" max="6" width="15.75" customWidth="1"/>
    <col min="7" max="7" width="12.75" customWidth="1"/>
    <col min="8" max="8" width="12" customWidth="1"/>
    <col min="9" max="9" width="15.75" customWidth="1"/>
    <col min="10" max="10" width="12.75" customWidth="1"/>
    <col min="11" max="11" width="15.75" customWidth="1"/>
    <col min="12" max="12" width="12.75" customWidth="1"/>
    <col min="13" max="13" width="11.75" customWidth="1"/>
    <col min="14" max="14" width="15.75" customWidth="1"/>
    <col min="15" max="15" width="12.75" customWidth="1"/>
    <col min="16" max="16" width="15.75" customWidth="1"/>
    <col min="17" max="17" width="12.75" customWidth="1"/>
  </cols>
  <sheetData>
    <row r="1" spans="2:10" ht="19.7" thickBot="1" x14ac:dyDescent="0.4">
      <c r="B1" s="65" t="s">
        <v>70</v>
      </c>
      <c r="C1" s="66" t="s">
        <v>71</v>
      </c>
    </row>
    <row r="2" spans="2:10" ht="19.05" x14ac:dyDescent="0.35">
      <c r="C2" s="66" t="s">
        <v>72</v>
      </c>
    </row>
    <row r="3" spans="2:10" ht="19.05" x14ac:dyDescent="0.35">
      <c r="C3" s="66" t="s">
        <v>73</v>
      </c>
    </row>
    <row r="4" spans="2:10" ht="19.05" x14ac:dyDescent="0.35">
      <c r="C4" s="66" t="s">
        <v>74</v>
      </c>
    </row>
    <row r="5" spans="2:10" ht="19.05" x14ac:dyDescent="0.35">
      <c r="C5" s="66" t="s">
        <v>75</v>
      </c>
    </row>
    <row r="6" spans="2:10" ht="19.05" x14ac:dyDescent="0.35">
      <c r="C6" s="66"/>
    </row>
    <row r="7" spans="2:10" ht="19.05" x14ac:dyDescent="0.35">
      <c r="C7" s="67" t="s">
        <v>76</v>
      </c>
    </row>
    <row r="9" spans="2:10" ht="19.05" x14ac:dyDescent="0.35">
      <c r="C9" s="68" t="s">
        <v>77</v>
      </c>
    </row>
    <row r="10" spans="2:10" ht="19.05" x14ac:dyDescent="0.35">
      <c r="C10" s="68" t="s">
        <v>78</v>
      </c>
      <c r="H10" t="s">
        <v>63</v>
      </c>
      <c r="J10" t="s">
        <v>63</v>
      </c>
    </row>
    <row r="11" spans="2:10" ht="19.05" x14ac:dyDescent="0.35">
      <c r="C11" s="68"/>
      <c r="D11" s="73" t="s">
        <v>79</v>
      </c>
      <c r="E11" s="73" t="s">
        <v>80</v>
      </c>
      <c r="F11" s="73" t="s">
        <v>81</v>
      </c>
      <c r="H11" t="s">
        <v>82</v>
      </c>
      <c r="J11" t="s">
        <v>83</v>
      </c>
    </row>
    <row r="12" spans="2:10" ht="19.05" x14ac:dyDescent="0.35">
      <c r="C12" s="68" t="s">
        <v>64</v>
      </c>
      <c r="H12" s="74">
        <f>2*5</f>
        <v>10</v>
      </c>
      <c r="J12" s="74">
        <f>3*5</f>
        <v>15</v>
      </c>
    </row>
    <row r="13" spans="2:10" ht="19.05" x14ac:dyDescent="0.35">
      <c r="C13" s="68" t="s">
        <v>65</v>
      </c>
      <c r="H13" s="74">
        <f>1*10</f>
        <v>10</v>
      </c>
      <c r="J13" s="74">
        <f>1.5*10</f>
        <v>15</v>
      </c>
    </row>
    <row r="14" spans="2:10" ht="19.05" x14ac:dyDescent="0.35">
      <c r="C14" s="68" t="s">
        <v>84</v>
      </c>
      <c r="D14" s="71">
        <v>100000</v>
      </c>
      <c r="E14">
        <f>7000*1+3000*1.5</f>
        <v>11500</v>
      </c>
      <c r="F14" s="75">
        <f>D14/E14</f>
        <v>8.695652173913043</v>
      </c>
      <c r="G14" t="s">
        <v>85</v>
      </c>
      <c r="H14" s="74">
        <f>F14*1</f>
        <v>8.695652173913043</v>
      </c>
      <c r="J14" s="74">
        <f>F14*1.5</f>
        <v>13.043478260869565</v>
      </c>
    </row>
    <row r="15" spans="2:10" ht="19.05" x14ac:dyDescent="0.35">
      <c r="C15" s="68"/>
      <c r="D15" s="71"/>
      <c r="F15" s="1"/>
      <c r="G15" s="25" t="s">
        <v>183</v>
      </c>
      <c r="H15" s="76">
        <f>SUM(H12:H14)</f>
        <v>28.695652173913043</v>
      </c>
      <c r="J15" s="77">
        <f>SUM(J12:J14)</f>
        <v>43.043478260869563</v>
      </c>
    </row>
    <row r="16" spans="2:10" s="6" customFormat="1" ht="19.05" x14ac:dyDescent="0.35">
      <c r="C16" s="78"/>
      <c r="D16" s="79"/>
      <c r="F16" s="80"/>
      <c r="H16" s="81"/>
    </row>
    <row r="17" spans="3:10" ht="19.05" x14ac:dyDescent="0.35">
      <c r="C17" s="68" t="s">
        <v>86</v>
      </c>
      <c r="D17" s="71">
        <v>100000</v>
      </c>
      <c r="E17">
        <f>7000*0.5+3000*1</f>
        <v>6500</v>
      </c>
      <c r="F17" s="75">
        <f>D17/E17</f>
        <v>15.384615384615385</v>
      </c>
      <c r="G17" t="s">
        <v>69</v>
      </c>
      <c r="H17" s="74">
        <f>F17*0.5</f>
        <v>7.6923076923076925</v>
      </c>
      <c r="J17" s="74">
        <f>F17*1</f>
        <v>15.384615384615385</v>
      </c>
    </row>
    <row r="18" spans="3:10" ht="19.05" x14ac:dyDescent="0.35">
      <c r="C18" s="68"/>
      <c r="D18" s="71"/>
      <c r="F18" s="1"/>
      <c r="G18" s="25" t="str">
        <f>G15</f>
        <v>Mfg cost per unit</v>
      </c>
      <c r="H18" s="76">
        <f>H12+H13+H17</f>
        <v>27.692307692307693</v>
      </c>
      <c r="J18" s="77">
        <f>J12+J13+J17</f>
        <v>45.384615384615387</v>
      </c>
    </row>
    <row r="19" spans="3:10" s="6" customFormat="1" ht="19.05" x14ac:dyDescent="0.35">
      <c r="C19" s="78"/>
      <c r="D19" s="79"/>
      <c r="F19" s="80"/>
      <c r="H19" s="81"/>
    </row>
    <row r="20" spans="3:10" ht="19.05" x14ac:dyDescent="0.35">
      <c r="C20" s="68" t="s">
        <v>87</v>
      </c>
      <c r="D20" s="71">
        <v>100000</v>
      </c>
      <c r="E20">
        <f>7000+3000</f>
        <v>10000</v>
      </c>
      <c r="F20" s="82">
        <f>D20/E20</f>
        <v>10</v>
      </c>
      <c r="G20" t="s">
        <v>44</v>
      </c>
      <c r="H20" s="58">
        <f>F20</f>
        <v>10</v>
      </c>
      <c r="J20" s="58">
        <f>F20</f>
        <v>10</v>
      </c>
    </row>
    <row r="21" spans="3:10" x14ac:dyDescent="0.25">
      <c r="G21" s="25" t="str">
        <f>G18</f>
        <v>Mfg cost per unit</v>
      </c>
      <c r="H21" s="19">
        <f>H12+H13+H20</f>
        <v>30</v>
      </c>
      <c r="J21" s="83">
        <f>J12+J13+J20</f>
        <v>40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24"/>
  <sheetViews>
    <sheetView zoomScale="90" zoomScaleNormal="90" workbookViewId="0">
      <selection activeCell="R29" sqref="R29"/>
    </sheetView>
  </sheetViews>
  <sheetFormatPr defaultRowHeight="14.3" x14ac:dyDescent="0.25"/>
  <cols>
    <col min="3" max="3" width="19.25" customWidth="1"/>
    <col min="4" max="4" width="11.375" customWidth="1"/>
    <col min="5" max="5" width="16.125" customWidth="1"/>
    <col min="6" max="6" width="11.75" customWidth="1"/>
    <col min="7" max="7" width="14.125" customWidth="1"/>
    <col min="8" max="8" width="11.75" customWidth="1"/>
    <col min="9" max="9" width="12.75" customWidth="1"/>
    <col min="10" max="10" width="13.375" customWidth="1"/>
  </cols>
  <sheetData>
    <row r="1" spans="2:12" ht="19.7" thickBot="1" x14ac:dyDescent="0.4">
      <c r="B1" s="65" t="s">
        <v>88</v>
      </c>
      <c r="C1" s="66" t="s">
        <v>89</v>
      </c>
    </row>
    <row r="2" spans="2:12" ht="19.05" x14ac:dyDescent="0.35">
      <c r="C2" s="66" t="s">
        <v>90</v>
      </c>
    </row>
    <row r="3" spans="2:12" ht="19.05" x14ac:dyDescent="0.35">
      <c r="C3" s="66" t="s">
        <v>91</v>
      </c>
    </row>
    <row r="4" spans="2:12" ht="19.05" x14ac:dyDescent="0.35">
      <c r="C4" s="66" t="s">
        <v>92</v>
      </c>
    </row>
    <row r="5" spans="2:12" ht="19.05" x14ac:dyDescent="0.35">
      <c r="C5" s="66" t="s">
        <v>93</v>
      </c>
    </row>
    <row r="6" spans="2:12" ht="19.05" x14ac:dyDescent="0.35">
      <c r="C6" s="66" t="s">
        <v>94</v>
      </c>
    </row>
    <row r="7" spans="2:12" ht="19.05" x14ac:dyDescent="0.35">
      <c r="C7" s="66"/>
    </row>
    <row r="8" spans="2:12" ht="19.05" x14ac:dyDescent="0.35">
      <c r="C8" s="67" t="s">
        <v>95</v>
      </c>
    </row>
    <row r="10" spans="2:12" ht="19.05" x14ac:dyDescent="0.35">
      <c r="C10" s="68" t="s">
        <v>96</v>
      </c>
    </row>
    <row r="11" spans="2:12" ht="19.05" x14ac:dyDescent="0.35">
      <c r="C11" s="68" t="s">
        <v>78</v>
      </c>
    </row>
    <row r="12" spans="2:12" ht="19.05" x14ac:dyDescent="0.35">
      <c r="C12" s="68"/>
    </row>
    <row r="14" spans="2:12" ht="19.05" x14ac:dyDescent="0.35">
      <c r="C14" s="68"/>
      <c r="D14" s="73" t="s">
        <v>79</v>
      </c>
      <c r="E14" s="73" t="s">
        <v>80</v>
      </c>
      <c r="F14" s="73" t="s">
        <v>81</v>
      </c>
      <c r="H14" t="s">
        <v>82</v>
      </c>
      <c r="J14" t="s">
        <v>83</v>
      </c>
      <c r="L14" t="s">
        <v>97</v>
      </c>
    </row>
    <row r="15" spans="2:12" ht="19.05" x14ac:dyDescent="0.35">
      <c r="C15" s="68" t="s">
        <v>64</v>
      </c>
      <c r="H15" s="74">
        <f>2*5</f>
        <v>10</v>
      </c>
      <c r="J15" s="74">
        <f>3*5</f>
        <v>15</v>
      </c>
      <c r="L15">
        <f>5*3</f>
        <v>15</v>
      </c>
    </row>
    <row r="16" spans="2:12" ht="19.05" x14ac:dyDescent="0.35">
      <c r="C16" s="68" t="s">
        <v>65</v>
      </c>
      <c r="H16" s="74">
        <f>1*10</f>
        <v>10</v>
      </c>
      <c r="J16" s="74">
        <f>1.5*10</f>
        <v>15</v>
      </c>
      <c r="L16">
        <f>10*2.5</f>
        <v>25</v>
      </c>
    </row>
    <row r="17" spans="3:13" ht="19.05" x14ac:dyDescent="0.35">
      <c r="C17" s="68" t="s">
        <v>84</v>
      </c>
      <c r="D17" s="71">
        <v>100000</v>
      </c>
      <c r="E17">
        <f>6000*1+3000*1.5+1000*2.5</f>
        <v>13000</v>
      </c>
      <c r="F17" s="75">
        <f>D17/E17</f>
        <v>7.6923076923076925</v>
      </c>
      <c r="G17" t="s">
        <v>85</v>
      </c>
      <c r="H17" s="74">
        <f>F17*1</f>
        <v>7.6923076923076925</v>
      </c>
      <c r="J17" s="74">
        <f>F17*1.5</f>
        <v>11.538461538461538</v>
      </c>
      <c r="L17" s="74">
        <f>F17*2.5</f>
        <v>19.23076923076923</v>
      </c>
    </row>
    <row r="18" spans="3:13" ht="19.05" x14ac:dyDescent="0.35">
      <c r="C18" s="68"/>
      <c r="D18" s="71"/>
      <c r="F18" s="1"/>
      <c r="G18" s="25" t="s">
        <v>183</v>
      </c>
      <c r="H18" s="76">
        <f>SUM(H15:H17)</f>
        <v>27.692307692307693</v>
      </c>
      <c r="J18" s="77">
        <f>SUM(J15:J17)</f>
        <v>41.53846153846154</v>
      </c>
      <c r="L18" s="84">
        <f>SUM(L15:L17)</f>
        <v>59.230769230769226</v>
      </c>
    </row>
    <row r="19" spans="3:13" ht="19.05" x14ac:dyDescent="0.35">
      <c r="C19" s="78"/>
      <c r="D19" s="79"/>
      <c r="E19" s="6"/>
      <c r="F19" s="80"/>
      <c r="G19" s="6"/>
      <c r="H19" s="81"/>
      <c r="I19" s="6"/>
      <c r="J19" s="6"/>
    </row>
    <row r="20" spans="3:13" ht="19.05" x14ac:dyDescent="0.35">
      <c r="C20" s="68" t="s">
        <v>86</v>
      </c>
      <c r="D20" s="71">
        <v>100000</v>
      </c>
      <c r="E20">
        <f>6000*0.5+3000*1</f>
        <v>6000</v>
      </c>
      <c r="F20" s="75">
        <f>D20/E20</f>
        <v>16.666666666666668</v>
      </c>
      <c r="G20" t="s">
        <v>69</v>
      </c>
      <c r="H20" s="74">
        <f>F20*0.5</f>
        <v>8.3333333333333339</v>
      </c>
      <c r="J20" s="74">
        <f>F20*1</f>
        <v>16.666666666666668</v>
      </c>
      <c r="L20" s="85">
        <v>0</v>
      </c>
      <c r="M20" s="1" t="s">
        <v>98</v>
      </c>
    </row>
    <row r="21" spans="3:13" ht="19.05" x14ac:dyDescent="0.35">
      <c r="C21" s="68"/>
      <c r="D21" s="71"/>
      <c r="F21" s="1"/>
      <c r="G21" s="25" t="str">
        <f>G18</f>
        <v>Mfg cost per unit</v>
      </c>
      <c r="H21" s="76">
        <f>H15+H16+H20</f>
        <v>28.333333333333336</v>
      </c>
      <c r="J21" s="77">
        <f>J15+J16+J20</f>
        <v>46.666666666666671</v>
      </c>
      <c r="L21">
        <f>L15+L16+L20</f>
        <v>40</v>
      </c>
    </row>
    <row r="22" spans="3:13" ht="19.05" x14ac:dyDescent="0.35">
      <c r="C22" s="78"/>
      <c r="D22" s="79"/>
      <c r="E22" s="6"/>
      <c r="F22" s="80"/>
      <c r="G22" s="6"/>
      <c r="H22" s="81"/>
      <c r="I22" s="6"/>
      <c r="J22" s="6"/>
    </row>
    <row r="23" spans="3:13" ht="19.05" x14ac:dyDescent="0.35">
      <c r="C23" s="68" t="s">
        <v>87</v>
      </c>
      <c r="D23" s="71">
        <v>100000</v>
      </c>
      <c r="E23">
        <f>7000+3000</f>
        <v>10000</v>
      </c>
      <c r="F23" s="82">
        <f>D23/E23</f>
        <v>10</v>
      </c>
      <c r="G23" t="s">
        <v>44</v>
      </c>
      <c r="H23" s="58">
        <f>F23</f>
        <v>10</v>
      </c>
      <c r="J23" s="58">
        <f>F23</f>
        <v>10</v>
      </c>
      <c r="L23" s="58">
        <f>1*F23</f>
        <v>10</v>
      </c>
    </row>
    <row r="24" spans="3:13" x14ac:dyDescent="0.25">
      <c r="G24" s="25" t="str">
        <f>G21</f>
        <v>Mfg cost per unit</v>
      </c>
      <c r="H24" s="19">
        <f>H15+H16+H23</f>
        <v>30</v>
      </c>
      <c r="J24" s="83">
        <f>J15+J16+J23</f>
        <v>40</v>
      </c>
      <c r="L24" s="86">
        <f>L15+L16+L23</f>
        <v>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N40"/>
  <sheetViews>
    <sheetView topLeftCell="A4" zoomScale="80" zoomScaleNormal="80" workbookViewId="0">
      <selection activeCell="C30" sqref="C30"/>
    </sheetView>
  </sheetViews>
  <sheetFormatPr defaultRowHeight="14.3" x14ac:dyDescent="0.25"/>
  <cols>
    <col min="3" max="3" width="19.5" customWidth="1"/>
    <col min="4" max="4" width="12.375" customWidth="1"/>
    <col min="5" max="5" width="21.5" customWidth="1"/>
    <col min="6" max="6" width="15.75" customWidth="1"/>
    <col min="7" max="7" width="16.625" customWidth="1"/>
    <col min="8" max="8" width="11.75" customWidth="1"/>
    <col min="9" max="9" width="16.375" customWidth="1"/>
    <col min="10" max="10" width="10.875" customWidth="1"/>
    <col min="11" max="11" width="7.625" bestFit="1" customWidth="1"/>
    <col min="12" max="13" width="10.75" customWidth="1"/>
    <col min="14" max="14" width="12" bestFit="1" customWidth="1"/>
    <col min="15" max="16" width="11.875" bestFit="1" customWidth="1"/>
  </cols>
  <sheetData>
    <row r="1" spans="2:13" ht="19.7" thickBot="1" x14ac:dyDescent="0.4">
      <c r="B1" s="65" t="s">
        <v>99</v>
      </c>
      <c r="C1" s="66" t="s">
        <v>100</v>
      </c>
    </row>
    <row r="2" spans="2:13" ht="19.05" x14ac:dyDescent="0.35">
      <c r="C2" s="66" t="s">
        <v>101</v>
      </c>
    </row>
    <row r="3" spans="2:13" ht="19.05" x14ac:dyDescent="0.35">
      <c r="C3" s="66" t="s">
        <v>102</v>
      </c>
    </row>
    <row r="4" spans="2:13" ht="19.05" x14ac:dyDescent="0.35">
      <c r="C4" s="66" t="s">
        <v>103</v>
      </c>
    </row>
    <row r="5" spans="2:13" ht="19.05" x14ac:dyDescent="0.35">
      <c r="D5" s="721"/>
      <c r="E5" s="722"/>
      <c r="F5" s="87" t="s">
        <v>104</v>
      </c>
      <c r="G5" s="87" t="s">
        <v>105</v>
      </c>
      <c r="H5" s="87" t="s">
        <v>106</v>
      </c>
      <c r="I5" s="87" t="s">
        <v>107</v>
      </c>
    </row>
    <row r="6" spans="2:13" ht="19.05" x14ac:dyDescent="0.35">
      <c r="D6" s="723" t="s">
        <v>108</v>
      </c>
      <c r="E6" s="723"/>
      <c r="F6" s="88" t="s">
        <v>109</v>
      </c>
      <c r="G6" s="88" t="s">
        <v>110</v>
      </c>
      <c r="H6" s="88" t="s">
        <v>110</v>
      </c>
      <c r="I6" s="88" t="s">
        <v>109</v>
      </c>
      <c r="L6" s="89" t="s">
        <v>111</v>
      </c>
      <c r="M6" s="90">
        <v>5</v>
      </c>
    </row>
    <row r="7" spans="2:13" ht="19.05" x14ac:dyDescent="0.35">
      <c r="D7" s="723" t="s">
        <v>112</v>
      </c>
      <c r="E7" s="723"/>
      <c r="F7" s="91">
        <v>1</v>
      </c>
      <c r="G7" s="91">
        <v>1.5</v>
      </c>
      <c r="H7" s="91">
        <v>2.5</v>
      </c>
      <c r="I7" s="91">
        <v>2.5</v>
      </c>
      <c r="L7" s="92"/>
      <c r="M7" s="90"/>
    </row>
    <row r="8" spans="2:13" ht="19.05" x14ac:dyDescent="0.35">
      <c r="D8" s="723" t="s">
        <v>113</v>
      </c>
      <c r="E8" s="723"/>
      <c r="F8" s="91">
        <v>0.5</v>
      </c>
      <c r="G8" s="91">
        <v>1</v>
      </c>
      <c r="H8" s="93">
        <v>0</v>
      </c>
      <c r="I8" s="91">
        <v>1</v>
      </c>
      <c r="L8" s="92"/>
      <c r="M8" s="90"/>
    </row>
    <row r="9" spans="2:13" ht="19.05" x14ac:dyDescent="0.35">
      <c r="D9" s="723" t="s">
        <v>114</v>
      </c>
      <c r="E9" s="723"/>
      <c r="F9" s="93">
        <v>5000</v>
      </c>
      <c r="G9" s="93">
        <v>3000</v>
      </c>
      <c r="H9" s="93">
        <v>1000</v>
      </c>
      <c r="I9" s="93">
        <v>1000</v>
      </c>
    </row>
    <row r="10" spans="2:13" x14ac:dyDescent="0.25">
      <c r="E10" s="94"/>
    </row>
    <row r="11" spans="2:13" ht="19.05" x14ac:dyDescent="0.35">
      <c r="D11" s="66" t="s">
        <v>115</v>
      </c>
      <c r="E11" s="95"/>
      <c r="F11" s="96"/>
      <c r="G11" s="96"/>
    </row>
    <row r="12" spans="2:13" ht="19.05" x14ac:dyDescent="0.35">
      <c r="D12" s="66" t="s">
        <v>116</v>
      </c>
      <c r="E12" s="95"/>
      <c r="F12" s="96"/>
      <c r="G12" s="96"/>
    </row>
    <row r="13" spans="2:13" ht="19.05" x14ac:dyDescent="0.35">
      <c r="D13" s="96"/>
      <c r="E13" s="104" t="s">
        <v>117</v>
      </c>
      <c r="F13" s="105"/>
      <c r="G13" s="106"/>
      <c r="H13" s="107">
        <v>10</v>
      </c>
    </row>
    <row r="14" spans="2:13" ht="19.05" x14ac:dyDescent="0.35">
      <c r="D14" s="96"/>
      <c r="E14" s="104" t="s">
        <v>118</v>
      </c>
      <c r="F14" s="105"/>
      <c r="G14" s="106"/>
      <c r="H14" s="107">
        <v>12</v>
      </c>
    </row>
    <row r="15" spans="2:13" x14ac:dyDescent="0.25">
      <c r="E15" s="94"/>
    </row>
    <row r="16" spans="2:13" ht="19.05" x14ac:dyDescent="0.35">
      <c r="C16" s="67" t="s">
        <v>119</v>
      </c>
    </row>
    <row r="18" spans="3:14" ht="19.05" x14ac:dyDescent="0.35">
      <c r="C18" s="68" t="s">
        <v>120</v>
      </c>
    </row>
    <row r="19" spans="3:14" ht="19.05" x14ac:dyDescent="0.35">
      <c r="C19" s="68" t="s">
        <v>78</v>
      </c>
    </row>
    <row r="21" spans="3:14" ht="19.05" x14ac:dyDescent="0.35">
      <c r="C21" s="68"/>
      <c r="D21" s="73" t="s">
        <v>79</v>
      </c>
      <c r="E21" s="73" t="s">
        <v>80</v>
      </c>
      <c r="F21" s="73" t="s">
        <v>81</v>
      </c>
      <c r="H21" t="s">
        <v>82</v>
      </c>
      <c r="J21" t="s">
        <v>83</v>
      </c>
      <c r="L21" t="s">
        <v>97</v>
      </c>
      <c r="N21" t="str">
        <f>I5</f>
        <v>Thingamabob</v>
      </c>
    </row>
    <row r="22" spans="3:14" ht="19.05" x14ac:dyDescent="0.35">
      <c r="C22" s="68" t="s">
        <v>64</v>
      </c>
      <c r="H22" s="74">
        <f>2*5</f>
        <v>10</v>
      </c>
      <c r="J22" s="74">
        <f>3*5</f>
        <v>15</v>
      </c>
      <c r="L22">
        <f>5*3</f>
        <v>15</v>
      </c>
      <c r="N22">
        <f>5*2</f>
        <v>10</v>
      </c>
    </row>
    <row r="23" spans="3:14" ht="19.05" x14ac:dyDescent="0.35">
      <c r="C23" s="68" t="s">
        <v>65</v>
      </c>
      <c r="H23" s="74">
        <f>1*10</f>
        <v>10</v>
      </c>
      <c r="J23" s="74">
        <f>1.5*10</f>
        <v>15</v>
      </c>
      <c r="L23">
        <f>10*2.5</f>
        <v>25</v>
      </c>
      <c r="N23">
        <f>I7*H14</f>
        <v>30</v>
      </c>
    </row>
    <row r="24" spans="3:14" ht="19.05" x14ac:dyDescent="0.35">
      <c r="C24" s="68" t="s">
        <v>84</v>
      </c>
      <c r="D24" s="71">
        <v>100000</v>
      </c>
      <c r="E24">
        <f>5000*1+3000*1.5+1000*2.5+1000*2.5</f>
        <v>14500</v>
      </c>
      <c r="F24" s="75">
        <f>D24/E24</f>
        <v>6.8965517241379306</v>
      </c>
      <c r="G24" t="s">
        <v>85</v>
      </c>
      <c r="H24" s="74">
        <f>F24*1</f>
        <v>6.8965517241379306</v>
      </c>
      <c r="J24" s="74">
        <f>F24*1.5</f>
        <v>10.344827586206897</v>
      </c>
      <c r="L24" s="74">
        <f>F24*2.5</f>
        <v>17.241379310344826</v>
      </c>
      <c r="N24" s="101">
        <f>F24*I7</f>
        <v>17.241379310344826</v>
      </c>
    </row>
    <row r="25" spans="3:14" ht="19.05" x14ac:dyDescent="0.35">
      <c r="C25" s="68"/>
      <c r="D25" s="71"/>
      <c r="F25" s="1"/>
      <c r="G25" t="s">
        <v>183</v>
      </c>
      <c r="H25" s="76">
        <f>SUM(H22:H24)</f>
        <v>26.896551724137929</v>
      </c>
      <c r="J25" s="77">
        <f>SUM(J22:J24)</f>
        <v>40.344827586206897</v>
      </c>
      <c r="L25" s="84">
        <f>SUM(L22:L24)</f>
        <v>57.241379310344826</v>
      </c>
      <c r="N25" s="108">
        <f>SUM(N22:N24)</f>
        <v>57.241379310344826</v>
      </c>
    </row>
    <row r="26" spans="3:14" ht="19.05" x14ac:dyDescent="0.35">
      <c r="C26" s="78"/>
      <c r="D26" s="79"/>
      <c r="E26" s="6"/>
      <c r="F26" s="80"/>
      <c r="G26" s="6"/>
      <c r="H26" s="81"/>
      <c r="I26" s="6"/>
      <c r="J26" s="6"/>
    </row>
    <row r="27" spans="3:14" ht="19.05" x14ac:dyDescent="0.35">
      <c r="C27" s="78" t="s">
        <v>180</v>
      </c>
      <c r="D27" s="79">
        <f>D24</f>
        <v>100000</v>
      </c>
      <c r="E27" s="102">
        <f>F9*F7*H13+G9*G7*H13+H9*H7*H13+I9*I7*H14</f>
        <v>150000</v>
      </c>
      <c r="F27" s="103">
        <f>D27/E27</f>
        <v>0.66666666666666663</v>
      </c>
      <c r="G27" s="6" t="s">
        <v>181</v>
      </c>
      <c r="H27" s="81">
        <f>F27*H13*F7</f>
        <v>6.6666666666666661</v>
      </c>
      <c r="I27" s="6"/>
      <c r="J27" s="79">
        <f>F27*H13*G7</f>
        <v>10</v>
      </c>
      <c r="L27" s="74">
        <f>F27*H7*H13</f>
        <v>16.666666666666664</v>
      </c>
      <c r="N27" s="74">
        <f>F27*I7*H14</f>
        <v>20</v>
      </c>
    </row>
    <row r="28" spans="3:14" ht="19.05" x14ac:dyDescent="0.35">
      <c r="C28" s="78"/>
      <c r="D28" s="79"/>
      <c r="E28" s="6"/>
      <c r="F28" s="80"/>
      <c r="G28" t="s">
        <v>183</v>
      </c>
      <c r="H28" s="110">
        <f>H22+H23+H27</f>
        <v>26.666666666666664</v>
      </c>
      <c r="I28" s="81"/>
      <c r="J28" s="77">
        <f t="shared" ref="J28:N28" si="0">J22+J23+J27</f>
        <v>40</v>
      </c>
      <c r="K28" s="81"/>
      <c r="L28" s="111">
        <f t="shared" si="0"/>
        <v>56.666666666666664</v>
      </c>
      <c r="M28" s="81"/>
      <c r="N28" s="109">
        <f t="shared" si="0"/>
        <v>60</v>
      </c>
    </row>
    <row r="29" spans="3:14" ht="19.7" thickBot="1" x14ac:dyDescent="0.4">
      <c r="C29" s="78"/>
      <c r="D29" s="79"/>
      <c r="E29" s="6"/>
      <c r="F29" s="80"/>
      <c r="G29" s="6"/>
      <c r="H29" s="81"/>
      <c r="I29" s="6"/>
      <c r="J29" s="6"/>
    </row>
    <row r="30" spans="3:14" ht="19.05" x14ac:dyDescent="0.35">
      <c r="C30" s="112" t="s">
        <v>86</v>
      </c>
      <c r="D30" s="113">
        <v>100000</v>
      </c>
      <c r="E30" s="3">
        <f>6000*0.5+3000*1</f>
        <v>6000</v>
      </c>
      <c r="F30" s="114">
        <f>D30/E30</f>
        <v>16.666666666666668</v>
      </c>
      <c r="G30" s="3" t="s">
        <v>69</v>
      </c>
      <c r="H30" s="115"/>
      <c r="I30" s="3"/>
      <c r="J30" s="115"/>
      <c r="K30" s="3"/>
      <c r="L30" s="116">
        <v>0</v>
      </c>
      <c r="M30" s="14" t="s">
        <v>179</v>
      </c>
      <c r="N30" s="4"/>
    </row>
    <row r="31" spans="3:14" ht="19.7" thickBot="1" x14ac:dyDescent="0.4">
      <c r="C31" s="117"/>
      <c r="D31" s="11"/>
      <c r="E31" s="12"/>
      <c r="F31" s="118"/>
      <c r="G31" s="12"/>
      <c r="H31" s="119"/>
      <c r="I31" s="12"/>
      <c r="J31" s="120"/>
      <c r="K31" s="12"/>
      <c r="L31" s="12"/>
      <c r="M31" s="12"/>
      <c r="N31" s="13"/>
    </row>
    <row r="32" spans="3:14" ht="19.05" x14ac:dyDescent="0.35">
      <c r="C32" s="78"/>
      <c r="D32" s="79"/>
      <c r="E32" s="6"/>
      <c r="F32" s="80"/>
      <c r="G32" s="6"/>
      <c r="H32" s="81"/>
      <c r="I32" s="6"/>
      <c r="J32" s="6"/>
    </row>
    <row r="33" spans="3:14" ht="19.05" x14ac:dyDescent="0.35">
      <c r="C33" s="68" t="s">
        <v>87</v>
      </c>
      <c r="D33" s="71">
        <v>100000</v>
      </c>
      <c r="E33" s="121">
        <f>F9+G9+H9+I9</f>
        <v>10000</v>
      </c>
      <c r="F33" s="82">
        <f>D33/E33</f>
        <v>10</v>
      </c>
      <c r="G33" t="s">
        <v>44</v>
      </c>
      <c r="H33" s="58">
        <f>F33*1</f>
        <v>10</v>
      </c>
      <c r="J33" s="58">
        <f>F33*1</f>
        <v>10</v>
      </c>
      <c r="L33" s="58">
        <f>1*F33</f>
        <v>10</v>
      </c>
      <c r="N33" s="58">
        <f>1*F33</f>
        <v>10</v>
      </c>
    </row>
    <row r="34" spans="3:14" x14ac:dyDescent="0.25">
      <c r="G34" t="s">
        <v>183</v>
      </c>
      <c r="H34" s="19">
        <f>H22+H23+H33</f>
        <v>30</v>
      </c>
      <c r="J34" s="83">
        <f>J22+J23+J33</f>
        <v>40</v>
      </c>
      <c r="L34" s="86">
        <f>L22+L23+L33</f>
        <v>50</v>
      </c>
      <c r="M34" s="102"/>
      <c r="N34" s="86">
        <f t="shared" ref="N34" si="1">N22+N23+N33</f>
        <v>50</v>
      </c>
    </row>
    <row r="37" spans="3:14" x14ac:dyDescent="0.25">
      <c r="C37" t="s">
        <v>174</v>
      </c>
      <c r="F37" t="s">
        <v>175</v>
      </c>
    </row>
    <row r="38" spans="3:14" x14ac:dyDescent="0.25">
      <c r="C38" t="s">
        <v>182</v>
      </c>
      <c r="F38" t="s">
        <v>176</v>
      </c>
    </row>
    <row r="39" spans="3:14" x14ac:dyDescent="0.25">
      <c r="F39" t="s">
        <v>177</v>
      </c>
    </row>
    <row r="40" spans="3:14" x14ac:dyDescent="0.25">
      <c r="F40" t="s">
        <v>178</v>
      </c>
    </row>
  </sheetData>
  <mergeCells count="5">
    <mergeCell ref="D5:E5"/>
    <mergeCell ref="D6:E6"/>
    <mergeCell ref="D7:E7"/>
    <mergeCell ref="D8:E8"/>
    <mergeCell ref="D9:E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F56"/>
  <sheetViews>
    <sheetView topLeftCell="A13" zoomScale="80" zoomScaleNormal="80" workbookViewId="0">
      <selection activeCell="H57" sqref="H57"/>
    </sheetView>
  </sheetViews>
  <sheetFormatPr defaultRowHeight="14.3" x14ac:dyDescent="0.25"/>
  <cols>
    <col min="2" max="2" width="23.625" customWidth="1"/>
    <col min="3" max="3" width="12.625" customWidth="1"/>
    <col min="4" max="4" width="47.375" customWidth="1"/>
    <col min="5" max="5" width="5.375" customWidth="1"/>
  </cols>
  <sheetData>
    <row r="2" spans="2:5" ht="16.3" x14ac:dyDescent="0.3">
      <c r="B2" s="97" t="s">
        <v>121</v>
      </c>
      <c r="C2" s="97"/>
      <c r="D2" s="97"/>
      <c r="E2" s="97"/>
    </row>
    <row r="3" spans="2:5" ht="16.3" x14ac:dyDescent="0.3">
      <c r="B3" s="97"/>
      <c r="C3" s="97"/>
      <c r="D3" s="97"/>
      <c r="E3" s="97"/>
    </row>
    <row r="4" spans="2:5" x14ac:dyDescent="0.25">
      <c r="C4" t="s">
        <v>122</v>
      </c>
    </row>
    <row r="5" spans="2:5" ht="16.3" x14ac:dyDescent="0.3">
      <c r="B5" s="98"/>
      <c r="C5" s="97" t="s">
        <v>123</v>
      </c>
      <c r="D5" s="97"/>
    </row>
    <row r="6" spans="2:5" ht="16.3" x14ac:dyDescent="0.3">
      <c r="B6" s="98"/>
      <c r="C6" s="98" t="s">
        <v>50</v>
      </c>
      <c r="D6" s="97" t="s">
        <v>124</v>
      </c>
    </row>
    <row r="7" spans="2:5" ht="16.3" x14ac:dyDescent="0.3">
      <c r="B7" s="98"/>
      <c r="C7" s="98" t="s">
        <v>51</v>
      </c>
      <c r="D7" s="97" t="s">
        <v>125</v>
      </c>
    </row>
    <row r="8" spans="2:5" ht="16.3" x14ac:dyDescent="0.3">
      <c r="B8" s="98"/>
      <c r="C8" s="98" t="s">
        <v>52</v>
      </c>
      <c r="D8" s="97" t="s">
        <v>126</v>
      </c>
    </row>
    <row r="9" spans="2:5" ht="16.3" x14ac:dyDescent="0.3">
      <c r="B9" s="98"/>
      <c r="C9" s="98" t="s">
        <v>53</v>
      </c>
      <c r="D9" s="97" t="s">
        <v>127</v>
      </c>
    </row>
    <row r="10" spans="2:5" ht="16.3" x14ac:dyDescent="0.3">
      <c r="B10" s="98"/>
      <c r="C10" s="97"/>
      <c r="D10" s="98"/>
      <c r="E10" s="97"/>
    </row>
    <row r="11" spans="2:5" ht="16.3" x14ac:dyDescent="0.3">
      <c r="B11" s="98" t="s">
        <v>128</v>
      </c>
      <c r="C11" s="97" t="s">
        <v>129</v>
      </c>
      <c r="D11" s="98"/>
      <c r="E11" s="97"/>
    </row>
    <row r="12" spans="2:5" ht="16.3" x14ac:dyDescent="0.3">
      <c r="B12" s="98"/>
      <c r="C12" s="97" t="s">
        <v>130</v>
      </c>
      <c r="D12" s="98"/>
      <c r="E12" s="97"/>
    </row>
    <row r="13" spans="2:5" ht="16.3" x14ac:dyDescent="0.3">
      <c r="B13" s="98"/>
      <c r="C13" s="97"/>
      <c r="D13" s="98"/>
      <c r="E13" s="97"/>
    </row>
    <row r="14" spans="2:5" ht="16.3" x14ac:dyDescent="0.3">
      <c r="B14" s="98"/>
      <c r="C14" s="97" t="s">
        <v>131</v>
      </c>
      <c r="D14" s="99" t="s">
        <v>104</v>
      </c>
      <c r="E14" s="97" t="s">
        <v>132</v>
      </c>
    </row>
    <row r="15" spans="2:5" ht="16.3" x14ac:dyDescent="0.3">
      <c r="B15" s="98"/>
      <c r="C15" s="97"/>
      <c r="D15" s="99"/>
      <c r="E15" s="97"/>
    </row>
    <row r="16" spans="2:5" ht="16.3" x14ac:dyDescent="0.3">
      <c r="B16" s="98"/>
      <c r="C16" s="97" t="s">
        <v>133</v>
      </c>
      <c r="D16" s="99" t="s">
        <v>134</v>
      </c>
      <c r="E16" s="97" t="s">
        <v>135</v>
      </c>
    </row>
    <row r="17" spans="2:6" ht="16.3" x14ac:dyDescent="0.3">
      <c r="B17" s="98"/>
      <c r="C17" s="97"/>
      <c r="D17" s="98"/>
      <c r="E17" s="97" t="s">
        <v>136</v>
      </c>
    </row>
    <row r="18" spans="2:6" ht="16.3" x14ac:dyDescent="0.3">
      <c r="B18" s="98"/>
      <c r="C18" s="97"/>
      <c r="D18" s="98"/>
      <c r="E18" s="97"/>
      <c r="F18" t="s">
        <v>137</v>
      </c>
    </row>
    <row r="19" spans="2:6" ht="16.3" x14ac:dyDescent="0.3">
      <c r="B19" s="98"/>
      <c r="D19" s="98"/>
      <c r="E19" s="97"/>
    </row>
    <row r="20" spans="2:6" ht="16.3" x14ac:dyDescent="0.3">
      <c r="B20" s="98"/>
      <c r="C20" s="97" t="s">
        <v>138</v>
      </c>
      <c r="D20" s="99" t="s">
        <v>139</v>
      </c>
      <c r="E20" s="97" t="s">
        <v>140</v>
      </c>
    </row>
    <row r="21" spans="2:6" ht="16.3" x14ac:dyDescent="0.3">
      <c r="B21" s="98"/>
      <c r="C21" s="97"/>
      <c r="D21" s="98"/>
      <c r="E21" s="97"/>
      <c r="F21" t="s">
        <v>141</v>
      </c>
    </row>
    <row r="22" spans="2:6" ht="16.3" x14ac:dyDescent="0.3">
      <c r="B22" s="98"/>
      <c r="C22" s="97"/>
      <c r="D22" s="98"/>
      <c r="E22" s="97" t="s">
        <v>142</v>
      </c>
    </row>
    <row r="23" spans="2:6" ht="16.3" x14ac:dyDescent="0.3">
      <c r="B23" s="98"/>
      <c r="C23" s="97"/>
      <c r="D23" s="98"/>
      <c r="E23" s="97"/>
      <c r="F23" t="s">
        <v>143</v>
      </c>
    </row>
    <row r="24" spans="2:6" ht="16.3" x14ac:dyDescent="0.3">
      <c r="B24" s="98"/>
      <c r="C24" s="97"/>
      <c r="D24" s="98"/>
      <c r="E24" s="97"/>
      <c r="F24" t="s">
        <v>144</v>
      </c>
    </row>
    <row r="25" spans="2:6" ht="16.3" x14ac:dyDescent="0.3">
      <c r="B25" s="98"/>
      <c r="C25" s="97"/>
      <c r="D25" s="98"/>
      <c r="E25" s="97" t="s">
        <v>145</v>
      </c>
    </row>
    <row r="26" spans="2:6" ht="16.3" x14ac:dyDescent="0.3">
      <c r="B26" s="98"/>
      <c r="C26" s="97"/>
      <c r="D26" s="98"/>
      <c r="E26" s="97"/>
      <c r="F26" t="s">
        <v>146</v>
      </c>
    </row>
    <row r="27" spans="2:6" ht="16.3" x14ac:dyDescent="0.3">
      <c r="B27" s="98"/>
      <c r="C27" s="97"/>
      <c r="D27" s="98"/>
      <c r="E27" s="97"/>
    </row>
    <row r="28" spans="2:6" ht="16.3" x14ac:dyDescent="0.3">
      <c r="B28" s="98"/>
      <c r="C28" s="97" t="s">
        <v>147</v>
      </c>
      <c r="D28" s="99" t="s">
        <v>148</v>
      </c>
      <c r="E28" s="97" t="s">
        <v>149</v>
      </c>
    </row>
    <row r="29" spans="2:6" ht="16.3" x14ac:dyDescent="0.3">
      <c r="B29" s="98"/>
      <c r="C29" s="97"/>
      <c r="D29" s="98"/>
      <c r="E29" s="97" t="s">
        <v>150</v>
      </c>
    </row>
    <row r="30" spans="2:6" ht="16.3" x14ac:dyDescent="0.3">
      <c r="B30" s="98"/>
      <c r="C30" s="97"/>
      <c r="D30" s="98"/>
      <c r="E30" s="97" t="s">
        <v>151</v>
      </c>
    </row>
    <row r="31" spans="2:6" ht="16.3" x14ac:dyDescent="0.3">
      <c r="B31" s="98"/>
      <c r="C31" s="97"/>
      <c r="D31" s="98"/>
      <c r="E31" s="97"/>
    </row>
    <row r="32" spans="2:6" ht="16.3" x14ac:dyDescent="0.3">
      <c r="B32" s="98"/>
      <c r="C32" s="97"/>
      <c r="D32" s="98"/>
      <c r="E32" s="97"/>
    </row>
    <row r="33" spans="2:5" ht="16.3" x14ac:dyDescent="0.3">
      <c r="B33" s="98" t="s">
        <v>152</v>
      </c>
      <c r="C33" s="97" t="s">
        <v>153</v>
      </c>
      <c r="D33" s="98"/>
      <c r="E33" s="97"/>
    </row>
    <row r="34" spans="2:5" ht="16.3" x14ac:dyDescent="0.3">
      <c r="B34" s="98"/>
      <c r="C34" s="97" t="s">
        <v>130</v>
      </c>
      <c r="D34" s="98"/>
      <c r="E34" s="97"/>
    </row>
    <row r="35" spans="2:5" ht="16.3" x14ac:dyDescent="0.3">
      <c r="B35" s="98"/>
      <c r="C35" s="97"/>
      <c r="D35" s="98"/>
      <c r="E35" s="97" t="s">
        <v>154</v>
      </c>
    </row>
    <row r="36" spans="2:5" ht="16.3" x14ac:dyDescent="0.3">
      <c r="B36" s="98"/>
      <c r="C36" s="97"/>
      <c r="D36" s="98"/>
      <c r="E36" s="97" t="s">
        <v>155</v>
      </c>
    </row>
    <row r="37" spans="2:5" ht="16.3" x14ac:dyDescent="0.3">
      <c r="B37" s="98"/>
      <c r="C37" s="97"/>
      <c r="D37" s="98"/>
      <c r="E37" s="97" t="s">
        <v>156</v>
      </c>
    </row>
    <row r="38" spans="2:5" ht="16.3" x14ac:dyDescent="0.3">
      <c r="B38" s="98"/>
      <c r="C38" s="97"/>
      <c r="D38" s="98"/>
      <c r="E38" s="97" t="s">
        <v>157</v>
      </c>
    </row>
    <row r="39" spans="2:5" ht="16.3" x14ac:dyDescent="0.3">
      <c r="B39" s="98"/>
      <c r="C39" s="97"/>
      <c r="D39" s="98"/>
      <c r="E39" s="97"/>
    </row>
    <row r="40" spans="2:5" ht="16.3" x14ac:dyDescent="0.3">
      <c r="B40" s="98" t="s">
        <v>158</v>
      </c>
      <c r="C40" s="97" t="s">
        <v>159</v>
      </c>
      <c r="D40" s="98"/>
      <c r="E40" s="97"/>
    </row>
    <row r="41" spans="2:5" ht="16.3" x14ac:dyDescent="0.3">
      <c r="B41" s="98"/>
      <c r="C41" s="97" t="s">
        <v>130</v>
      </c>
      <c r="D41" s="98"/>
      <c r="E41" s="97"/>
    </row>
    <row r="42" spans="2:5" ht="16.3" x14ac:dyDescent="0.3">
      <c r="B42" s="98"/>
      <c r="C42" s="97"/>
      <c r="D42" s="97"/>
      <c r="E42" s="97" t="s">
        <v>160</v>
      </c>
    </row>
    <row r="43" spans="2:5" ht="16.3" x14ac:dyDescent="0.3">
      <c r="B43" s="98"/>
      <c r="C43" s="97"/>
      <c r="D43" s="97"/>
      <c r="E43" s="97" t="s">
        <v>161</v>
      </c>
    </row>
    <row r="44" spans="2:5" ht="16.3" x14ac:dyDescent="0.3">
      <c r="B44" s="98"/>
      <c r="C44" s="97"/>
      <c r="D44" s="98"/>
      <c r="E44" s="97" t="s">
        <v>162</v>
      </c>
    </row>
    <row r="45" spans="2:5" ht="16.3" x14ac:dyDescent="0.3">
      <c r="B45" s="98"/>
      <c r="C45" s="97"/>
      <c r="D45" s="98"/>
      <c r="E45" s="97"/>
    </row>
    <row r="46" spans="2:5" ht="16.3" x14ac:dyDescent="0.3">
      <c r="B46" s="98" t="s">
        <v>163</v>
      </c>
      <c r="C46" s="97" t="s">
        <v>164</v>
      </c>
      <c r="D46" s="98"/>
      <c r="E46" s="97"/>
    </row>
    <row r="47" spans="2:5" ht="16.3" x14ac:dyDescent="0.3">
      <c r="B47" s="98"/>
      <c r="C47" s="97" t="s">
        <v>130</v>
      </c>
      <c r="D47" s="98"/>
      <c r="E47" s="97"/>
    </row>
    <row r="48" spans="2:5" ht="16.3" x14ac:dyDescent="0.3">
      <c r="B48" s="98"/>
      <c r="C48" s="97"/>
      <c r="D48" s="97"/>
      <c r="E48" s="97" t="s">
        <v>165</v>
      </c>
    </row>
    <row r="49" spans="2:6" ht="16.3" x14ac:dyDescent="0.3">
      <c r="B49" s="98"/>
      <c r="C49" s="97"/>
      <c r="D49" s="97"/>
      <c r="E49" s="97" t="s">
        <v>166</v>
      </c>
    </row>
    <row r="50" spans="2:6" x14ac:dyDescent="0.25">
      <c r="B50" s="100"/>
      <c r="E50" t="s">
        <v>167</v>
      </c>
    </row>
    <row r="51" spans="2:6" ht="16.3" x14ac:dyDescent="0.3">
      <c r="E51" s="97" t="s">
        <v>168</v>
      </c>
    </row>
    <row r="52" spans="2:6" ht="16.3" x14ac:dyDescent="0.3">
      <c r="E52" s="97" t="s">
        <v>169</v>
      </c>
    </row>
    <row r="53" spans="2:6" x14ac:dyDescent="0.25">
      <c r="F53" t="s">
        <v>170</v>
      </c>
    </row>
    <row r="54" spans="2:6" x14ac:dyDescent="0.25">
      <c r="F54" t="s">
        <v>171</v>
      </c>
    </row>
    <row r="55" spans="2:6" x14ac:dyDescent="0.25">
      <c r="F55" t="s">
        <v>172</v>
      </c>
    </row>
    <row r="56" spans="2:6" x14ac:dyDescent="0.25">
      <c r="F56" t="s">
        <v>173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U41"/>
  <sheetViews>
    <sheetView zoomScale="80" zoomScaleNormal="80" workbookViewId="0">
      <selection activeCell="S36" sqref="S36"/>
    </sheetView>
  </sheetViews>
  <sheetFormatPr defaultRowHeight="14.3" x14ac:dyDescent="0.25"/>
  <sheetData>
    <row r="1" spans="2:18" ht="19.05" x14ac:dyDescent="0.35">
      <c r="B1" s="324" t="s">
        <v>404</v>
      </c>
      <c r="C1" s="123"/>
      <c r="D1" s="123"/>
      <c r="E1" s="123"/>
      <c r="F1" s="123"/>
      <c r="G1" s="123"/>
      <c r="H1" s="123"/>
      <c r="I1" s="123"/>
      <c r="J1" s="123"/>
      <c r="K1" s="123"/>
      <c r="L1" s="123"/>
      <c r="M1" s="123"/>
      <c r="N1" s="123"/>
      <c r="O1" s="123"/>
    </row>
    <row r="2" spans="2:18" ht="19.05" x14ac:dyDescent="0.35">
      <c r="B2" s="67" t="s">
        <v>405</v>
      </c>
      <c r="C2" s="325"/>
      <c r="D2" s="325"/>
      <c r="E2" s="325"/>
      <c r="F2" s="325"/>
      <c r="G2" s="325"/>
      <c r="H2" s="325"/>
      <c r="I2" s="325"/>
      <c r="J2" s="325"/>
      <c r="K2" s="325"/>
      <c r="L2" s="325"/>
      <c r="M2" s="325"/>
    </row>
    <row r="3" spans="2:18" ht="19.7" thickBot="1" x14ac:dyDescent="0.4">
      <c r="B3" s="67" t="s">
        <v>406</v>
      </c>
      <c r="C3" s="325"/>
      <c r="D3" s="325"/>
      <c r="E3" s="325"/>
      <c r="F3" s="325"/>
      <c r="G3" s="325"/>
      <c r="H3" s="325"/>
      <c r="I3" s="325"/>
      <c r="J3" s="325"/>
      <c r="K3" s="325"/>
      <c r="L3" s="325"/>
      <c r="M3" s="325"/>
    </row>
    <row r="4" spans="2:18" ht="19.7" thickBot="1" x14ac:dyDescent="0.4">
      <c r="B4" s="326" t="s">
        <v>407</v>
      </c>
      <c r="C4" s="66" t="s">
        <v>408</v>
      </c>
      <c r="D4" s="66"/>
      <c r="E4" s="66"/>
      <c r="F4" s="66"/>
      <c r="G4" s="66"/>
      <c r="H4" s="327" t="s">
        <v>128</v>
      </c>
      <c r="I4" s="66" t="s">
        <v>409</v>
      </c>
    </row>
    <row r="5" spans="2:18" ht="19.05" x14ac:dyDescent="0.35">
      <c r="B5" s="66"/>
      <c r="C5" s="66"/>
      <c r="D5" s="66"/>
      <c r="E5" s="66"/>
      <c r="F5" s="66"/>
      <c r="G5" s="66"/>
      <c r="H5" s="327" t="s">
        <v>152</v>
      </c>
      <c r="I5" s="66" t="s">
        <v>410</v>
      </c>
    </row>
    <row r="6" spans="2:18" ht="19.05" x14ac:dyDescent="0.35">
      <c r="B6" s="66"/>
      <c r="H6" s="94"/>
      <c r="I6" s="66" t="s">
        <v>411</v>
      </c>
    </row>
    <row r="8" spans="2:18" ht="19.7" thickBot="1" x14ac:dyDescent="0.4">
      <c r="H8" s="66" t="s">
        <v>412</v>
      </c>
    </row>
    <row r="9" spans="2:18" ht="19.7" thickBot="1" x14ac:dyDescent="0.4">
      <c r="B9" s="326" t="s">
        <v>407</v>
      </c>
      <c r="C9" s="66" t="s">
        <v>413</v>
      </c>
      <c r="H9" s="66"/>
      <c r="I9" s="66"/>
      <c r="J9" s="66"/>
      <c r="K9" s="66"/>
      <c r="L9" s="66"/>
      <c r="M9" s="66"/>
      <c r="N9" s="66"/>
      <c r="R9" s="66"/>
    </row>
    <row r="10" spans="2:18" ht="19.05" x14ac:dyDescent="0.35">
      <c r="H10" s="66"/>
      <c r="I10" s="724" t="s">
        <v>414</v>
      </c>
      <c r="J10" s="724"/>
      <c r="K10" s="724"/>
      <c r="L10" s="724"/>
      <c r="M10" s="724"/>
      <c r="N10" s="66"/>
      <c r="O10" s="724" t="s">
        <v>415</v>
      </c>
      <c r="P10" s="724"/>
      <c r="Q10" s="724"/>
      <c r="R10" s="66"/>
    </row>
    <row r="11" spans="2:18" ht="19.05" x14ac:dyDescent="0.35">
      <c r="B11" s="327" t="s">
        <v>128</v>
      </c>
      <c r="C11" s="66" t="s">
        <v>416</v>
      </c>
      <c r="H11" s="66"/>
      <c r="N11" s="66"/>
      <c r="O11" s="283" t="s">
        <v>128</v>
      </c>
      <c r="P11" s="66" t="s">
        <v>417</v>
      </c>
      <c r="R11" s="66"/>
    </row>
    <row r="12" spans="2:18" ht="19.05" x14ac:dyDescent="0.35">
      <c r="B12" s="328"/>
      <c r="H12" s="283" t="s">
        <v>50</v>
      </c>
      <c r="I12" s="66" t="s">
        <v>418</v>
      </c>
      <c r="J12" s="66"/>
      <c r="K12" s="66"/>
      <c r="L12" s="66"/>
      <c r="M12" s="66"/>
      <c r="N12" s="66"/>
      <c r="O12" s="283" t="s">
        <v>152</v>
      </c>
      <c r="P12" s="66" t="s">
        <v>419</v>
      </c>
      <c r="R12" s="66"/>
    </row>
    <row r="13" spans="2:18" ht="19.05" x14ac:dyDescent="0.35">
      <c r="B13" s="328"/>
      <c r="H13" s="283" t="s">
        <v>51</v>
      </c>
      <c r="I13" s="66" t="s">
        <v>420</v>
      </c>
      <c r="J13" s="66"/>
      <c r="K13" s="66"/>
      <c r="L13" s="66"/>
      <c r="M13" s="66"/>
      <c r="N13" s="66"/>
      <c r="O13" s="283" t="s">
        <v>158</v>
      </c>
      <c r="P13" s="66" t="s">
        <v>421</v>
      </c>
      <c r="R13" s="66"/>
    </row>
    <row r="14" spans="2:18" ht="19.05" x14ac:dyDescent="0.35">
      <c r="B14" s="328"/>
      <c r="H14" s="283" t="s">
        <v>52</v>
      </c>
      <c r="I14" s="66" t="s">
        <v>422</v>
      </c>
      <c r="J14" s="66"/>
      <c r="K14" s="66"/>
      <c r="L14" s="66"/>
      <c r="M14" s="66"/>
      <c r="N14" s="66"/>
      <c r="O14" s="283" t="s">
        <v>163</v>
      </c>
      <c r="P14" s="66" t="s">
        <v>423</v>
      </c>
      <c r="R14" s="66"/>
    </row>
    <row r="15" spans="2:18" ht="19.05" x14ac:dyDescent="0.35">
      <c r="B15" s="328"/>
      <c r="H15" s="283" t="s">
        <v>53</v>
      </c>
      <c r="I15" s="66" t="s">
        <v>424</v>
      </c>
      <c r="J15" s="66"/>
      <c r="K15" s="66"/>
      <c r="L15" s="66"/>
      <c r="M15" s="66"/>
      <c r="N15" s="66"/>
      <c r="O15" s="283" t="s">
        <v>425</v>
      </c>
      <c r="P15" s="66" t="s">
        <v>426</v>
      </c>
      <c r="R15" s="66"/>
    </row>
    <row r="16" spans="2:18" ht="19.05" x14ac:dyDescent="0.35">
      <c r="B16" s="328"/>
      <c r="H16" s="283"/>
      <c r="I16" s="66"/>
      <c r="J16" s="66"/>
      <c r="K16" s="66"/>
      <c r="L16" s="66"/>
      <c r="M16" s="66"/>
      <c r="N16" s="66"/>
      <c r="O16" s="66" t="s">
        <v>427</v>
      </c>
      <c r="P16" s="66"/>
      <c r="Q16" s="66"/>
      <c r="R16" s="66"/>
    </row>
    <row r="17" spans="2:21" ht="19.05" x14ac:dyDescent="0.35">
      <c r="B17" s="328"/>
      <c r="H17" s="94"/>
      <c r="O17" s="66" t="s">
        <v>428</v>
      </c>
    </row>
    <row r="18" spans="2:21" x14ac:dyDescent="0.25">
      <c r="B18" s="328"/>
      <c r="H18" s="94"/>
    </row>
    <row r="19" spans="2:21" ht="19.05" x14ac:dyDescent="0.35">
      <c r="B19" s="328"/>
      <c r="H19" s="94"/>
      <c r="I19" s="67" t="s">
        <v>429</v>
      </c>
    </row>
    <row r="20" spans="2:21" ht="19.05" x14ac:dyDescent="0.35">
      <c r="B20" s="327" t="s">
        <v>152</v>
      </c>
      <c r="C20" s="66" t="s">
        <v>430</v>
      </c>
      <c r="D20" s="66"/>
      <c r="E20" s="66"/>
      <c r="F20" s="66"/>
      <c r="G20" s="66"/>
      <c r="H20" s="66"/>
      <c r="I20" s="66" t="s">
        <v>431</v>
      </c>
      <c r="J20" s="66"/>
      <c r="K20" s="66"/>
      <c r="L20" s="66"/>
      <c r="M20" s="66"/>
      <c r="N20" s="66"/>
      <c r="O20" s="66"/>
      <c r="P20" s="66"/>
    </row>
    <row r="21" spans="2:21" ht="19.05" x14ac:dyDescent="0.35">
      <c r="B21" s="66"/>
      <c r="C21" s="66"/>
      <c r="D21" s="66"/>
      <c r="E21" s="66"/>
      <c r="F21" s="66"/>
      <c r="G21" s="66"/>
      <c r="H21" s="66"/>
      <c r="I21" s="724" t="s">
        <v>184</v>
      </c>
      <c r="J21" s="724"/>
      <c r="K21" s="724"/>
      <c r="L21" s="66"/>
      <c r="M21" s="329" t="s">
        <v>432</v>
      </c>
      <c r="N21" s="329"/>
      <c r="O21" s="329"/>
      <c r="P21" s="329"/>
      <c r="R21" s="329" t="s">
        <v>185</v>
      </c>
      <c r="S21" s="330"/>
      <c r="T21" s="330"/>
      <c r="U21" s="330"/>
    </row>
    <row r="22" spans="2:21" ht="19.05" x14ac:dyDescent="0.35">
      <c r="B22" s="66"/>
      <c r="C22" s="66"/>
      <c r="D22" s="66"/>
      <c r="E22" s="66"/>
      <c r="F22" s="66"/>
      <c r="G22" s="66"/>
      <c r="H22" s="66"/>
      <c r="I22" s="66" t="s">
        <v>433</v>
      </c>
      <c r="J22" s="66"/>
      <c r="K22" s="66"/>
      <c r="L22" s="66"/>
      <c r="M22" s="66" t="s">
        <v>434</v>
      </c>
      <c r="N22" s="66"/>
      <c r="O22" s="66"/>
      <c r="P22" s="66"/>
      <c r="R22" s="66" t="s">
        <v>435</v>
      </c>
    </row>
    <row r="23" spans="2:21" ht="19.05" x14ac:dyDescent="0.35">
      <c r="B23" s="66"/>
      <c r="C23" s="66"/>
      <c r="D23" s="66"/>
      <c r="E23" s="66"/>
      <c r="F23" s="66"/>
      <c r="G23" s="66"/>
      <c r="H23" s="66"/>
      <c r="I23" s="66" t="s">
        <v>436</v>
      </c>
      <c r="J23" s="66"/>
      <c r="K23" s="66"/>
      <c r="L23" s="66"/>
      <c r="M23" s="66" t="s">
        <v>437</v>
      </c>
      <c r="N23" s="66"/>
      <c r="O23" s="66"/>
      <c r="P23" s="66"/>
    </row>
    <row r="24" spans="2:21" ht="19.05" x14ac:dyDescent="0.35">
      <c r="B24" s="66"/>
      <c r="C24" s="66"/>
      <c r="D24" s="66"/>
      <c r="E24" s="66"/>
      <c r="F24" s="66"/>
      <c r="G24" s="66"/>
      <c r="H24" s="66"/>
      <c r="I24" s="66" t="s">
        <v>438</v>
      </c>
      <c r="J24" s="66"/>
      <c r="K24" s="66"/>
      <c r="L24" s="66"/>
      <c r="M24" s="66" t="s">
        <v>439</v>
      </c>
      <c r="N24" s="66"/>
      <c r="O24" s="66"/>
      <c r="P24" s="66"/>
    </row>
    <row r="25" spans="2:21" ht="19.05" x14ac:dyDescent="0.35">
      <c r="B25" s="66"/>
      <c r="C25" s="66"/>
      <c r="D25" s="66"/>
      <c r="E25" s="66"/>
      <c r="F25" s="66"/>
      <c r="G25" s="66"/>
      <c r="H25" s="66"/>
      <c r="I25" s="66" t="s">
        <v>440</v>
      </c>
      <c r="J25" s="66"/>
      <c r="K25" s="66"/>
      <c r="L25" s="66"/>
      <c r="M25" s="66" t="s">
        <v>439</v>
      </c>
      <c r="N25" s="66"/>
      <c r="O25" s="66"/>
      <c r="P25" s="66"/>
    </row>
    <row r="26" spans="2:21" ht="19.05" x14ac:dyDescent="0.35">
      <c r="B26" s="66"/>
      <c r="C26" s="66"/>
      <c r="D26" s="66"/>
      <c r="E26" s="66"/>
      <c r="F26" s="66"/>
      <c r="G26" s="66"/>
      <c r="H26" s="66"/>
      <c r="I26" s="66" t="s">
        <v>441</v>
      </c>
      <c r="J26" s="66"/>
      <c r="K26" s="66"/>
      <c r="L26" s="66"/>
      <c r="M26" s="66" t="s">
        <v>439</v>
      </c>
      <c r="N26" s="66"/>
      <c r="O26" s="66"/>
      <c r="P26" s="66"/>
    </row>
    <row r="27" spans="2:21" ht="19.05" x14ac:dyDescent="0.35">
      <c r="B27" s="66"/>
      <c r="C27" s="66"/>
      <c r="D27" s="66"/>
      <c r="E27" s="66"/>
      <c r="F27" s="66"/>
      <c r="G27" s="66"/>
      <c r="H27" s="66"/>
      <c r="I27" s="66" t="s">
        <v>442</v>
      </c>
      <c r="J27" s="66"/>
      <c r="K27" s="66"/>
      <c r="L27" s="66"/>
      <c r="M27" s="66" t="s">
        <v>443</v>
      </c>
      <c r="N27" s="66"/>
      <c r="O27" s="66"/>
      <c r="P27" s="66"/>
    </row>
    <row r="28" spans="2:21" ht="19.05" x14ac:dyDescent="0.35">
      <c r="B28" s="66"/>
      <c r="C28" s="66"/>
      <c r="D28" s="66"/>
      <c r="E28" s="66"/>
      <c r="F28" s="66"/>
      <c r="G28" s="66"/>
      <c r="H28" s="66"/>
      <c r="I28" s="66" t="s">
        <v>444</v>
      </c>
      <c r="J28" s="66"/>
      <c r="K28" s="66"/>
      <c r="L28" s="66"/>
      <c r="M28" s="66" t="s">
        <v>439</v>
      </c>
      <c r="N28" s="66"/>
      <c r="O28" s="66"/>
      <c r="P28" s="66"/>
    </row>
    <row r="29" spans="2:21" ht="19.05" x14ac:dyDescent="0.35">
      <c r="B29" s="66"/>
      <c r="C29" s="66"/>
      <c r="D29" s="66"/>
      <c r="E29" s="66"/>
      <c r="F29" s="66"/>
      <c r="G29" s="66"/>
      <c r="H29" s="66"/>
      <c r="I29" s="66" t="s">
        <v>186</v>
      </c>
      <c r="J29" s="66"/>
      <c r="K29" s="66"/>
      <c r="L29" s="66"/>
      <c r="M29" s="66" t="s">
        <v>445</v>
      </c>
      <c r="N29" s="66"/>
      <c r="O29" s="66"/>
      <c r="P29" s="66"/>
    </row>
    <row r="31" spans="2:21" ht="19.05" x14ac:dyDescent="0.35">
      <c r="B31" s="327" t="s">
        <v>158</v>
      </c>
      <c r="C31" s="66" t="s">
        <v>446</v>
      </c>
      <c r="D31" s="66"/>
      <c r="E31" s="66"/>
      <c r="F31" s="66"/>
      <c r="G31" s="66"/>
      <c r="H31" s="66"/>
      <c r="I31" s="66" t="s">
        <v>447</v>
      </c>
      <c r="J31" s="66"/>
    </row>
    <row r="32" spans="2:21" ht="19.05" x14ac:dyDescent="0.35">
      <c r="B32" s="66"/>
      <c r="C32" s="66"/>
      <c r="D32" s="66"/>
      <c r="E32" s="66"/>
      <c r="F32" s="66"/>
      <c r="G32" s="66"/>
      <c r="H32" s="66"/>
      <c r="I32" s="66" t="s">
        <v>448</v>
      </c>
      <c r="J32" s="66"/>
    </row>
    <row r="33" spans="2:9" ht="19.05" x14ac:dyDescent="0.35">
      <c r="I33" s="66" t="s">
        <v>449</v>
      </c>
    </row>
    <row r="34" spans="2:9" ht="19.05" x14ac:dyDescent="0.35">
      <c r="I34" s="66" t="s">
        <v>450</v>
      </c>
    </row>
    <row r="35" spans="2:9" ht="19.05" x14ac:dyDescent="0.35">
      <c r="B35" s="245" t="s">
        <v>451</v>
      </c>
      <c r="C35" s="1"/>
    </row>
    <row r="36" spans="2:9" ht="19.05" x14ac:dyDescent="0.35">
      <c r="B36" s="331" t="s">
        <v>128</v>
      </c>
      <c r="C36" s="332" t="s">
        <v>452</v>
      </c>
    </row>
    <row r="37" spans="2:9" ht="19.05" x14ac:dyDescent="0.35">
      <c r="B37" s="331" t="s">
        <v>152</v>
      </c>
      <c r="C37" s="332" t="s">
        <v>453</v>
      </c>
    </row>
    <row r="38" spans="2:9" ht="19.05" x14ac:dyDescent="0.35">
      <c r="B38" s="331" t="s">
        <v>158</v>
      </c>
      <c r="C38" s="332" t="s">
        <v>454</v>
      </c>
    </row>
    <row r="39" spans="2:9" ht="19.05" x14ac:dyDescent="0.35">
      <c r="B39" s="331" t="s">
        <v>163</v>
      </c>
      <c r="C39" s="332" t="s">
        <v>455</v>
      </c>
    </row>
    <row r="40" spans="2:9" ht="19.05" x14ac:dyDescent="0.35">
      <c r="B40" s="331" t="s">
        <v>425</v>
      </c>
      <c r="C40" s="332" t="s">
        <v>456</v>
      </c>
    </row>
    <row r="41" spans="2:9" x14ac:dyDescent="0.25">
      <c r="B41" s="1"/>
      <c r="C41" s="1"/>
    </row>
  </sheetData>
  <mergeCells count="3">
    <mergeCell ref="I10:M10"/>
    <mergeCell ref="O10:Q10"/>
    <mergeCell ref="I21:K2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Z27"/>
  <sheetViews>
    <sheetView zoomScale="120" zoomScaleNormal="120" workbookViewId="0">
      <selection activeCell="B11" sqref="B11:C11"/>
    </sheetView>
  </sheetViews>
  <sheetFormatPr defaultRowHeight="14.3" x14ac:dyDescent="0.25"/>
  <cols>
    <col min="1" max="1" width="2.125" customWidth="1"/>
    <col min="2" max="2" width="22.125" customWidth="1"/>
    <col min="3" max="3" width="13.125" bestFit="1" customWidth="1"/>
    <col min="4" max="4" width="13" bestFit="1" customWidth="1"/>
    <col min="5" max="5" width="9.375" customWidth="1"/>
    <col min="6" max="6" width="6.25" customWidth="1"/>
    <col min="7" max="7" width="12.125" bestFit="1" customWidth="1"/>
    <col min="8" max="8" width="4.5" bestFit="1" customWidth="1"/>
    <col min="9" max="9" width="13" bestFit="1" customWidth="1"/>
    <col min="10" max="10" width="5.625" customWidth="1"/>
    <col min="11" max="11" width="13.75" customWidth="1"/>
    <col min="12" max="12" width="7.375" customWidth="1"/>
    <col min="13" max="13" width="9.625" bestFit="1" customWidth="1"/>
    <col min="14" max="14" width="4.25" bestFit="1" customWidth="1"/>
    <col min="15" max="15" width="12.375" customWidth="1"/>
    <col min="17" max="17" width="1.875" bestFit="1" customWidth="1"/>
  </cols>
  <sheetData>
    <row r="1" spans="2:26" x14ac:dyDescent="0.25">
      <c r="B1" s="1" t="s">
        <v>2</v>
      </c>
    </row>
    <row r="2" spans="2:26" ht="7.5" customHeight="1" x14ac:dyDescent="0.25">
      <c r="B2" s="1"/>
    </row>
    <row r="3" spans="2:26" x14ac:dyDescent="0.25">
      <c r="B3" s="20"/>
      <c r="C3" s="20" t="s">
        <v>3</v>
      </c>
      <c r="D3" s="20" t="s">
        <v>4</v>
      </c>
      <c r="E3" s="1" t="s">
        <v>5</v>
      </c>
      <c r="Q3" s="9"/>
      <c r="R3" s="21" t="s">
        <v>6</v>
      </c>
    </row>
    <row r="4" spans="2:26" x14ac:dyDescent="0.25">
      <c r="B4" s="20" t="s">
        <v>7</v>
      </c>
      <c r="C4" s="20">
        <v>250</v>
      </c>
      <c r="D4" s="20">
        <v>600</v>
      </c>
      <c r="E4" s="1">
        <f>C4+D4</f>
        <v>850</v>
      </c>
      <c r="Q4" s="7">
        <v>1</v>
      </c>
      <c r="R4" s="22" t="s">
        <v>8</v>
      </c>
      <c r="S4" s="15"/>
      <c r="T4" s="15"/>
      <c r="U4" s="15"/>
      <c r="V4" s="15"/>
      <c r="W4" s="15"/>
      <c r="X4" s="15"/>
    </row>
    <row r="5" spans="2:26" x14ac:dyDescent="0.25">
      <c r="B5" s="20" t="s">
        <v>9</v>
      </c>
      <c r="C5" s="20">
        <v>60000</v>
      </c>
      <c r="D5" s="20">
        <v>72000</v>
      </c>
      <c r="E5" s="1">
        <f>C5+D5</f>
        <v>132000</v>
      </c>
      <c r="Q5" s="7">
        <v>2</v>
      </c>
      <c r="R5" s="22" t="s">
        <v>10</v>
      </c>
      <c r="S5" s="15"/>
      <c r="T5" s="15"/>
      <c r="U5" s="15"/>
      <c r="V5" s="15"/>
      <c r="W5" s="15"/>
      <c r="X5" s="15"/>
    </row>
    <row r="6" spans="2:26" x14ac:dyDescent="0.25">
      <c r="B6" s="20" t="s">
        <v>11</v>
      </c>
      <c r="C6" s="20">
        <v>0.2</v>
      </c>
      <c r="D6" s="20">
        <v>0.3</v>
      </c>
      <c r="Q6" s="15">
        <v>3</v>
      </c>
      <c r="R6" s="22" t="s">
        <v>12</v>
      </c>
      <c r="S6" s="15"/>
      <c r="T6" s="15"/>
      <c r="U6" s="15"/>
      <c r="V6" s="15"/>
      <c r="W6" s="15"/>
      <c r="X6" s="15"/>
    </row>
    <row r="7" spans="2:26" x14ac:dyDescent="0.25">
      <c r="B7" s="20" t="s">
        <v>13</v>
      </c>
      <c r="C7" s="20">
        <v>0.1</v>
      </c>
      <c r="D7" s="20">
        <v>0.15</v>
      </c>
      <c r="Q7" s="15">
        <v>4</v>
      </c>
      <c r="R7" s="22" t="s">
        <v>14</v>
      </c>
      <c r="S7" s="15"/>
      <c r="T7" s="15"/>
      <c r="U7" s="15"/>
      <c r="V7" s="15"/>
      <c r="W7" s="15"/>
      <c r="X7" s="15"/>
    </row>
    <row r="8" spans="2:26" ht="14.95" thickBot="1" x14ac:dyDescent="0.3">
      <c r="B8" s="20" t="s">
        <v>15</v>
      </c>
      <c r="C8" s="23">
        <v>3.5</v>
      </c>
      <c r="D8" s="23">
        <v>6</v>
      </c>
      <c r="Q8" s="15">
        <v>5</v>
      </c>
      <c r="R8" s="22" t="s">
        <v>16</v>
      </c>
      <c r="S8" s="15"/>
      <c r="T8" s="15"/>
      <c r="U8" s="15"/>
      <c r="V8" s="15"/>
      <c r="W8" s="15"/>
      <c r="X8" s="15"/>
    </row>
    <row r="9" spans="2:26" ht="14.95" thickBot="1" x14ac:dyDescent="0.3">
      <c r="F9" s="725" t="s">
        <v>17</v>
      </c>
      <c r="G9" s="726"/>
      <c r="H9" s="725" t="s">
        <v>18</v>
      </c>
      <c r="I9" s="726"/>
      <c r="J9" s="725" t="s">
        <v>19</v>
      </c>
      <c r="K9" s="726"/>
      <c r="L9" s="725" t="s">
        <v>20</v>
      </c>
      <c r="M9" s="726"/>
      <c r="Q9" s="15">
        <v>6</v>
      </c>
      <c r="R9" s="22" t="s">
        <v>21</v>
      </c>
      <c r="S9" s="15"/>
      <c r="T9" s="15"/>
      <c r="U9" s="15"/>
      <c r="V9" s="15"/>
      <c r="W9" s="15"/>
      <c r="X9" s="24"/>
      <c r="Y9" s="25"/>
      <c r="Z9" s="25"/>
    </row>
    <row r="10" spans="2:26" x14ac:dyDescent="0.25">
      <c r="B10" s="26" t="s">
        <v>22</v>
      </c>
      <c r="C10" s="27"/>
      <c r="D10" s="28" t="s">
        <v>23</v>
      </c>
      <c r="E10" s="6"/>
      <c r="F10" s="727" t="s">
        <v>24</v>
      </c>
      <c r="G10" s="728"/>
      <c r="H10" s="727" t="s">
        <v>25</v>
      </c>
      <c r="I10" s="728"/>
      <c r="J10" s="727" t="s">
        <v>26</v>
      </c>
      <c r="K10" s="728"/>
      <c r="L10" s="727" t="s">
        <v>27</v>
      </c>
      <c r="M10" s="728"/>
      <c r="N10" s="29" t="s">
        <v>28</v>
      </c>
      <c r="O10" s="29" t="s">
        <v>28</v>
      </c>
      <c r="Q10" s="15">
        <v>7</v>
      </c>
      <c r="R10" s="30" t="s">
        <v>29</v>
      </c>
      <c r="S10" s="15"/>
      <c r="T10" s="15"/>
      <c r="U10" s="15"/>
      <c r="V10" s="15"/>
      <c r="W10" s="15"/>
      <c r="X10" s="31"/>
      <c r="Y10" s="25"/>
      <c r="Z10" s="25"/>
    </row>
    <row r="11" spans="2:26" x14ac:dyDescent="0.25">
      <c r="B11" s="32" t="s">
        <v>30</v>
      </c>
      <c r="C11" s="33">
        <v>850000</v>
      </c>
      <c r="D11" s="729" t="s">
        <v>31</v>
      </c>
      <c r="E11" s="730"/>
      <c r="F11" s="34">
        <v>0.15</v>
      </c>
      <c r="G11" s="35">
        <f>C11*F11</f>
        <v>127500</v>
      </c>
      <c r="H11" s="34">
        <v>0.55000000000000004</v>
      </c>
      <c r="I11" s="35">
        <f>C11*H11</f>
        <v>467500.00000000006</v>
      </c>
      <c r="J11" s="34">
        <v>0.2</v>
      </c>
      <c r="K11" s="35">
        <f>C11*J11</f>
        <v>170000</v>
      </c>
      <c r="L11" s="34">
        <v>0.1</v>
      </c>
      <c r="M11" s="35">
        <f>C11*L11</f>
        <v>85000</v>
      </c>
      <c r="N11" s="36">
        <f>F11+H11+J11+L11</f>
        <v>1.0000000000000002</v>
      </c>
      <c r="O11" s="37">
        <f>G11+I11+K11+M11</f>
        <v>850000</v>
      </c>
      <c r="Q11" s="15"/>
      <c r="R11" s="15"/>
      <c r="S11" s="15"/>
      <c r="T11" s="15"/>
      <c r="U11" s="15"/>
      <c r="V11" s="15"/>
      <c r="W11" s="15"/>
      <c r="X11" s="31"/>
      <c r="Y11" s="25"/>
      <c r="Z11" s="25"/>
    </row>
    <row r="12" spans="2:26" x14ac:dyDescent="0.25">
      <c r="B12" s="32" t="s">
        <v>32</v>
      </c>
      <c r="C12" s="33">
        <v>150000</v>
      </c>
      <c r="D12" s="729" t="s">
        <v>33</v>
      </c>
      <c r="E12" s="730"/>
      <c r="F12" s="34">
        <v>0.2</v>
      </c>
      <c r="G12" s="35">
        <f t="shared" ref="G12:G13" si="0">C12*F12</f>
        <v>30000</v>
      </c>
      <c r="H12" s="34">
        <v>0.6</v>
      </c>
      <c r="I12" s="35">
        <f t="shared" ref="I12:I13" si="1">C12*H12</f>
        <v>90000</v>
      </c>
      <c r="J12" s="34">
        <v>0.2</v>
      </c>
      <c r="K12" s="35">
        <f t="shared" ref="K12:K13" si="2">C12*J12</f>
        <v>30000</v>
      </c>
      <c r="L12" s="34">
        <v>0</v>
      </c>
      <c r="M12" s="35"/>
      <c r="N12" s="36">
        <f>F12+H12+J12+L12</f>
        <v>1</v>
      </c>
      <c r="O12" s="37">
        <f t="shared" ref="O12:O13" si="3">G12+I12+K12+M12</f>
        <v>150000</v>
      </c>
      <c r="Q12" s="15"/>
      <c r="R12" s="15"/>
      <c r="S12" s="15"/>
      <c r="T12" s="15"/>
      <c r="U12" s="15"/>
      <c r="V12" s="15"/>
      <c r="W12" s="15"/>
      <c r="X12" s="31"/>
      <c r="Y12" s="25"/>
      <c r="Z12" s="25"/>
    </row>
    <row r="13" spans="2:26" ht="14.95" thickBot="1" x14ac:dyDescent="0.3">
      <c r="B13" s="32" t="s">
        <v>34</v>
      </c>
      <c r="C13" s="33">
        <v>550000</v>
      </c>
      <c r="D13" s="729" t="s">
        <v>33</v>
      </c>
      <c r="E13" s="730"/>
      <c r="F13" s="34">
        <v>0</v>
      </c>
      <c r="G13" s="35">
        <f t="shared" si="0"/>
        <v>0</v>
      </c>
      <c r="H13" s="34">
        <v>0.8</v>
      </c>
      <c r="I13" s="35">
        <f t="shared" si="1"/>
        <v>440000</v>
      </c>
      <c r="J13" s="34">
        <v>0.2</v>
      </c>
      <c r="K13" s="35">
        <f t="shared" si="2"/>
        <v>110000</v>
      </c>
      <c r="L13" s="34">
        <v>0</v>
      </c>
      <c r="M13" s="35"/>
      <c r="N13" s="36">
        <f>F13+H13+J13+L13</f>
        <v>1</v>
      </c>
      <c r="O13" s="37">
        <f t="shared" si="3"/>
        <v>550000</v>
      </c>
      <c r="Q13" s="15"/>
      <c r="R13" s="15"/>
      <c r="S13" s="15"/>
      <c r="T13" s="15"/>
      <c r="U13" s="15"/>
      <c r="V13" s="15"/>
      <c r="W13" s="15"/>
      <c r="X13" s="31"/>
      <c r="Y13" s="25"/>
      <c r="Z13" s="25"/>
    </row>
    <row r="14" spans="2:26" ht="14.95" thickBot="1" x14ac:dyDescent="0.3">
      <c r="B14" s="38" t="s">
        <v>5</v>
      </c>
      <c r="C14" s="39">
        <f>SUM(C11:C13)</f>
        <v>1550000</v>
      </c>
      <c r="D14" s="731" t="s">
        <v>35</v>
      </c>
      <c r="E14" s="732"/>
      <c r="F14" s="40"/>
      <c r="G14" s="41">
        <f>SUM(G11:G13)</f>
        <v>157500</v>
      </c>
      <c r="H14" s="42"/>
      <c r="I14" s="41">
        <f>SUM(I11:I13)</f>
        <v>997500</v>
      </c>
      <c r="J14" s="43"/>
      <c r="K14" s="41">
        <f>SUM(K11:K13)</f>
        <v>310000</v>
      </c>
      <c r="L14" s="43"/>
      <c r="M14" s="41">
        <f>SUM(M11:M13)</f>
        <v>85000</v>
      </c>
      <c r="O14" s="44">
        <f>SUM(O11:O13)</f>
        <v>1550000</v>
      </c>
      <c r="Q14" s="15"/>
      <c r="R14" s="15"/>
      <c r="S14" s="15"/>
      <c r="T14" s="15"/>
      <c r="U14" s="15"/>
      <c r="V14" s="15"/>
      <c r="W14" s="15"/>
      <c r="X14" s="31"/>
      <c r="Y14" s="25"/>
      <c r="Z14" s="45"/>
    </row>
    <row r="15" spans="2:26" ht="14.95" thickBot="1" x14ac:dyDescent="0.3">
      <c r="Q15" s="15"/>
      <c r="R15" s="15"/>
      <c r="S15" s="15"/>
      <c r="T15" s="15"/>
      <c r="U15" s="15"/>
      <c r="V15" s="15"/>
      <c r="W15" s="15"/>
      <c r="X15" s="31"/>
      <c r="Y15" s="25"/>
      <c r="Z15" s="6"/>
    </row>
    <row r="16" spans="2:26" ht="14.95" thickBot="1" x14ac:dyDescent="0.3">
      <c r="E16" s="733" t="s">
        <v>36</v>
      </c>
      <c r="F16" s="733"/>
      <c r="G16" s="46" t="s">
        <v>37</v>
      </c>
      <c r="H16" s="734" t="s">
        <v>38</v>
      </c>
      <c r="I16" s="735"/>
      <c r="J16" s="734" t="s">
        <v>39</v>
      </c>
      <c r="K16" s="735"/>
      <c r="L16" s="734" t="s">
        <v>40</v>
      </c>
      <c r="M16" s="735"/>
      <c r="Q16" s="15"/>
      <c r="R16" s="15"/>
      <c r="S16" s="15"/>
      <c r="T16" s="15"/>
      <c r="U16" s="15"/>
      <c r="V16" s="15"/>
      <c r="W16" s="15"/>
      <c r="X16" s="31"/>
      <c r="Y16" s="25"/>
      <c r="Z16" s="47"/>
    </row>
    <row r="17" spans="3:26" ht="14.95" thickBot="1" x14ac:dyDescent="0.3">
      <c r="C17" s="736" t="s">
        <v>41</v>
      </c>
      <c r="D17" s="736"/>
      <c r="E17" s="736"/>
      <c r="F17" s="737"/>
      <c r="G17" s="48">
        <f>C4+D4</f>
        <v>850</v>
      </c>
      <c r="H17" s="738">
        <f>C5+D5</f>
        <v>132000</v>
      </c>
      <c r="I17" s="738"/>
      <c r="J17" s="739">
        <f>(C6*C5)+(D6*D5)</f>
        <v>33600</v>
      </c>
      <c r="K17" s="740"/>
      <c r="L17" s="741">
        <f>(C7*C5)+(D7*D5)</f>
        <v>16800</v>
      </c>
      <c r="M17" s="740"/>
      <c r="Q17" s="21"/>
      <c r="R17" s="21"/>
      <c r="S17" s="21"/>
      <c r="T17" s="49"/>
      <c r="U17" s="21"/>
      <c r="V17" s="49"/>
      <c r="W17" s="15"/>
      <c r="X17" s="50"/>
      <c r="Z17" s="6"/>
    </row>
    <row r="18" spans="3:26" ht="14.95" thickBot="1" x14ac:dyDescent="0.3">
      <c r="E18" s="733" t="s">
        <v>42</v>
      </c>
      <c r="F18" s="733"/>
      <c r="G18" s="51">
        <f>G14/G17</f>
        <v>185.29411764705881</v>
      </c>
      <c r="H18" s="746">
        <f>I14/H17</f>
        <v>7.5568181818181817</v>
      </c>
      <c r="I18" s="746"/>
      <c r="J18" s="747">
        <f>K14/J17</f>
        <v>9.2261904761904763</v>
      </c>
      <c r="K18" s="748"/>
      <c r="L18" s="746">
        <f>M14/L17</f>
        <v>5.0595238095238093</v>
      </c>
      <c r="M18" s="748"/>
      <c r="Q18" s="21"/>
      <c r="R18" s="15"/>
      <c r="S18" s="15"/>
      <c r="T18" s="52"/>
      <c r="U18" s="21"/>
      <c r="V18" s="52"/>
      <c r="W18" s="15"/>
      <c r="X18" s="15"/>
      <c r="Z18" s="45"/>
    </row>
    <row r="19" spans="3:26" x14ac:dyDescent="0.25">
      <c r="G19" s="53" t="s">
        <v>43</v>
      </c>
      <c r="H19" s="749" t="s">
        <v>44</v>
      </c>
      <c r="I19" s="749"/>
      <c r="J19" s="749" t="s">
        <v>1</v>
      </c>
      <c r="K19" s="749"/>
      <c r="L19" s="749" t="s">
        <v>1</v>
      </c>
      <c r="M19" s="749"/>
      <c r="Q19" s="15"/>
      <c r="R19" s="15"/>
      <c r="S19" s="15"/>
      <c r="T19" s="15"/>
      <c r="U19" s="15"/>
      <c r="V19" s="15"/>
      <c r="W19" s="15"/>
      <c r="X19" s="15"/>
      <c r="Z19" s="6"/>
    </row>
    <row r="20" spans="3:26" ht="14.95" thickBot="1" x14ac:dyDescent="0.3">
      <c r="G20" s="54"/>
      <c r="H20" s="54"/>
      <c r="I20" s="54"/>
      <c r="J20" s="54"/>
      <c r="K20" s="54"/>
      <c r="L20" s="54"/>
      <c r="M20" s="54"/>
      <c r="Q20" s="15"/>
      <c r="R20" s="15"/>
      <c r="S20" s="15"/>
      <c r="T20" s="15"/>
      <c r="U20" s="15"/>
      <c r="V20" s="15"/>
      <c r="W20" s="15"/>
      <c r="X20" s="15"/>
      <c r="Z20" s="6"/>
    </row>
    <row r="21" spans="3:26" ht="14.95" thickBot="1" x14ac:dyDescent="0.3">
      <c r="E21" s="750" t="s">
        <v>45</v>
      </c>
      <c r="F21" s="751"/>
      <c r="G21" s="752" t="s">
        <v>46</v>
      </c>
      <c r="H21" s="753"/>
      <c r="I21" s="753"/>
      <c r="J21" s="753"/>
      <c r="K21" s="753"/>
      <c r="L21" s="753"/>
      <c r="M21" s="754"/>
      <c r="P21" s="1"/>
      <c r="Q21" s="15"/>
      <c r="R21" s="15"/>
      <c r="S21" s="15"/>
      <c r="T21" s="15"/>
      <c r="U21" s="15"/>
      <c r="V21" s="15"/>
      <c r="W21" s="15"/>
      <c r="X21" s="15"/>
    </row>
    <row r="22" spans="3:26" ht="14.95" thickBot="1" x14ac:dyDescent="0.3">
      <c r="E22" s="755"/>
      <c r="F22" s="756"/>
      <c r="G22" s="55" t="str">
        <f>F10</f>
        <v>Job setup</v>
      </c>
      <c r="H22" s="757" t="str">
        <f>H10</f>
        <v>Assembly</v>
      </c>
      <c r="I22" s="758"/>
      <c r="J22" s="55" t="str">
        <f>J10</f>
        <v>Inspecting &amp; Finishing</v>
      </c>
      <c r="K22" s="56"/>
      <c r="L22" s="759" t="str">
        <f>L10</f>
        <v>Packaging</v>
      </c>
      <c r="M22" s="758"/>
      <c r="O22" s="54" t="s">
        <v>47</v>
      </c>
      <c r="P22" s="54" t="s">
        <v>48</v>
      </c>
      <c r="Q22" s="15"/>
      <c r="R22" s="15"/>
      <c r="S22" s="15"/>
      <c r="T22" s="15"/>
      <c r="U22" s="15"/>
      <c r="V22" s="15"/>
      <c r="W22" s="15"/>
      <c r="X22" s="15"/>
    </row>
    <row r="23" spans="3:26" ht="14.95" thickBot="1" x14ac:dyDescent="0.3">
      <c r="D23" s="18" t="str">
        <f>C3</f>
        <v>Safe-V Product</v>
      </c>
      <c r="E23" s="742">
        <f>C8*C5</f>
        <v>210000</v>
      </c>
      <c r="F23" s="743"/>
      <c r="G23" s="57">
        <f>G18*C4</f>
        <v>46323.529411764706</v>
      </c>
      <c r="H23" s="744">
        <f>H18*C5</f>
        <v>453409.09090909088</v>
      </c>
      <c r="I23" s="745"/>
      <c r="J23" s="744">
        <f>J18*C6*C5</f>
        <v>110714.28571428572</v>
      </c>
      <c r="K23" s="745"/>
      <c r="L23" s="744">
        <f>L18*C7*C5</f>
        <v>30357.142857142855</v>
      </c>
      <c r="M23" s="745"/>
      <c r="O23" s="58">
        <f>SUM(E23:M23)</f>
        <v>850804.04889228416</v>
      </c>
      <c r="P23" s="59">
        <f>O23/C5</f>
        <v>14.180067481538069</v>
      </c>
    </row>
    <row r="24" spans="3:26" ht="14.95" thickBot="1" x14ac:dyDescent="0.3">
      <c r="D24" s="60" t="str">
        <f>D3</f>
        <v>Safe-T Product</v>
      </c>
      <c r="E24" s="760">
        <f>D8*D5</f>
        <v>432000</v>
      </c>
      <c r="F24" s="761"/>
      <c r="G24" s="61">
        <f>G18*D4</f>
        <v>111176.47058823529</v>
      </c>
      <c r="H24" s="762">
        <f>H18*D5</f>
        <v>544090.90909090906</v>
      </c>
      <c r="I24" s="763"/>
      <c r="J24" s="762">
        <f>J18*D6*D5</f>
        <v>199285.71428571429</v>
      </c>
      <c r="K24" s="763"/>
      <c r="L24" s="762">
        <f>L18*D7*D5</f>
        <v>54642.857142857138</v>
      </c>
      <c r="M24" s="763"/>
      <c r="O24" s="58">
        <f>SUM(E24:M24)</f>
        <v>1341195.9511077157</v>
      </c>
      <c r="P24" s="59">
        <f>O24/D5</f>
        <v>18.627721543162718</v>
      </c>
    </row>
    <row r="25" spans="3:26" x14ac:dyDescent="0.25">
      <c r="G25" s="62">
        <f>SUM(G23:G24)</f>
        <v>157500</v>
      </c>
      <c r="H25" s="764">
        <f t="shared" ref="H25:L25" si="4">SUM(H23:H24)</f>
        <v>997500</v>
      </c>
      <c r="I25" s="764"/>
      <c r="J25" s="764">
        <f t="shared" si="4"/>
        <v>310000</v>
      </c>
      <c r="K25" s="764"/>
      <c r="L25" s="764">
        <f t="shared" si="4"/>
        <v>85000</v>
      </c>
      <c r="M25" s="764"/>
    </row>
    <row r="26" spans="3:26" x14ac:dyDescent="0.25">
      <c r="M26" t="s">
        <v>49</v>
      </c>
    </row>
    <row r="27" spans="3:26" x14ac:dyDescent="0.25">
      <c r="M27" s="44">
        <f>SUM(G23:M24)</f>
        <v>1550000</v>
      </c>
    </row>
  </sheetData>
  <mergeCells count="43">
    <mergeCell ref="E24:F24"/>
    <mergeCell ref="H24:I24"/>
    <mergeCell ref="J24:K24"/>
    <mergeCell ref="L24:M24"/>
    <mergeCell ref="H25:I25"/>
    <mergeCell ref="J25:K25"/>
    <mergeCell ref="L25:M25"/>
    <mergeCell ref="E23:F23"/>
    <mergeCell ref="H23:I23"/>
    <mergeCell ref="J23:K23"/>
    <mergeCell ref="L23:M23"/>
    <mergeCell ref="E18:F18"/>
    <mergeCell ref="H18:I18"/>
    <mergeCell ref="J18:K18"/>
    <mergeCell ref="L18:M18"/>
    <mergeCell ref="H19:I19"/>
    <mergeCell ref="J19:K19"/>
    <mergeCell ref="L19:M19"/>
    <mergeCell ref="E21:F21"/>
    <mergeCell ref="G21:M21"/>
    <mergeCell ref="E22:F22"/>
    <mergeCell ref="H22:I22"/>
    <mergeCell ref="L22:M22"/>
    <mergeCell ref="J16:K16"/>
    <mergeCell ref="L16:M16"/>
    <mergeCell ref="C17:F17"/>
    <mergeCell ref="H17:I17"/>
    <mergeCell ref="J17:K17"/>
    <mergeCell ref="L17:M17"/>
    <mergeCell ref="H16:I16"/>
    <mergeCell ref="D11:E11"/>
    <mergeCell ref="D12:E12"/>
    <mergeCell ref="D13:E13"/>
    <mergeCell ref="D14:E14"/>
    <mergeCell ref="E16:F16"/>
    <mergeCell ref="F9:G9"/>
    <mergeCell ref="H9:I9"/>
    <mergeCell ref="J9:K9"/>
    <mergeCell ref="L9:M9"/>
    <mergeCell ref="F10:G10"/>
    <mergeCell ref="H10:I10"/>
    <mergeCell ref="J10:K10"/>
    <mergeCell ref="L10:M1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O10:S23"/>
  <sheetViews>
    <sheetView zoomScale="80" zoomScaleNormal="80" workbookViewId="0">
      <selection activeCell="P33" sqref="P33"/>
    </sheetView>
  </sheetViews>
  <sheetFormatPr defaultRowHeight="14.3" x14ac:dyDescent="0.25"/>
  <cols>
    <col min="15" max="15" width="27.375" customWidth="1"/>
    <col min="16" max="16" width="24.25" bestFit="1" customWidth="1"/>
    <col min="17" max="17" width="21" bestFit="1" customWidth="1"/>
    <col min="18" max="18" width="24.25" bestFit="1" customWidth="1"/>
  </cols>
  <sheetData>
    <row r="10" spans="15:19" ht="23.8" x14ac:dyDescent="0.4">
      <c r="O10" s="333"/>
      <c r="Q10" s="333"/>
      <c r="R10" s="334" t="s">
        <v>459</v>
      </c>
      <c r="S10" s="333"/>
    </row>
    <row r="11" spans="15:19" ht="23.8" x14ac:dyDescent="0.4">
      <c r="O11" s="333" t="s">
        <v>64</v>
      </c>
      <c r="Q11" s="333"/>
      <c r="R11" s="333">
        <f>12000/50</f>
        <v>240</v>
      </c>
      <c r="S11" s="333"/>
    </row>
    <row r="12" spans="15:19" ht="23.8" x14ac:dyDescent="0.4">
      <c r="O12" s="333" t="s">
        <v>65</v>
      </c>
      <c r="Q12" s="333"/>
      <c r="R12" s="333">
        <f>2000/50</f>
        <v>40</v>
      </c>
      <c r="S12" s="333"/>
    </row>
    <row r="13" spans="15:19" ht="23.8" x14ac:dyDescent="0.4">
      <c r="O13" s="333" t="s">
        <v>375</v>
      </c>
      <c r="P13" s="333" t="s">
        <v>367</v>
      </c>
      <c r="Q13" s="333"/>
      <c r="R13" s="333"/>
      <c r="S13" s="333"/>
    </row>
    <row r="14" spans="15:19" ht="23.8" x14ac:dyDescent="0.4">
      <c r="O14" s="334" t="s">
        <v>460</v>
      </c>
      <c r="P14" s="335">
        <f>20000/100</f>
        <v>200</v>
      </c>
      <c r="Q14" s="333" t="s">
        <v>457</v>
      </c>
      <c r="R14" s="336">
        <f>P14*2/50</f>
        <v>8</v>
      </c>
      <c r="S14" s="333" t="s">
        <v>44</v>
      </c>
    </row>
    <row r="15" spans="15:19" ht="23.8" x14ac:dyDescent="0.4">
      <c r="O15" s="334" t="s">
        <v>377</v>
      </c>
      <c r="P15" s="335">
        <f>130000/13000</f>
        <v>10</v>
      </c>
      <c r="Q15" s="333" t="s">
        <v>458</v>
      </c>
      <c r="R15" s="336">
        <f>P15*10/50</f>
        <v>2</v>
      </c>
      <c r="S15" s="333" t="s">
        <v>44</v>
      </c>
    </row>
    <row r="16" spans="15:19" ht="23.8" x14ac:dyDescent="0.4">
      <c r="O16" s="334" t="s">
        <v>376</v>
      </c>
      <c r="P16" s="335">
        <f>80000/4000</f>
        <v>20</v>
      </c>
      <c r="Q16" s="333" t="s">
        <v>461</v>
      </c>
      <c r="R16" s="336">
        <f>P16*10/50</f>
        <v>4</v>
      </c>
      <c r="S16" s="333" t="s">
        <v>44</v>
      </c>
    </row>
    <row r="17" spans="15:19" ht="23.8" x14ac:dyDescent="0.4">
      <c r="O17" s="334" t="s">
        <v>462</v>
      </c>
      <c r="P17" s="335">
        <f>50000/2000</f>
        <v>25</v>
      </c>
      <c r="Q17" s="333" t="s">
        <v>463</v>
      </c>
      <c r="R17" s="336">
        <f>P17*50/50</f>
        <v>25</v>
      </c>
      <c r="S17" s="333" t="s">
        <v>44</v>
      </c>
    </row>
    <row r="18" spans="15:19" ht="24.45" thickBot="1" x14ac:dyDescent="0.45">
      <c r="O18" s="333"/>
      <c r="P18" s="333"/>
      <c r="Q18" s="333"/>
      <c r="R18" s="337">
        <f>SUM(R11:R17)</f>
        <v>319</v>
      </c>
      <c r="S18" s="333"/>
    </row>
    <row r="19" spans="15:19" ht="24.45" thickTop="1" x14ac:dyDescent="0.4">
      <c r="O19" s="333"/>
      <c r="P19" s="333"/>
      <c r="Q19" s="333"/>
      <c r="R19" s="333"/>
      <c r="S19" s="333"/>
    </row>
    <row r="20" spans="15:19" ht="23.8" x14ac:dyDescent="0.4">
      <c r="O20" s="333"/>
      <c r="P20" s="333"/>
      <c r="Q20" s="333"/>
      <c r="R20" s="333"/>
      <c r="S20" s="333"/>
    </row>
    <row r="21" spans="15:19" ht="23.8" x14ac:dyDescent="0.4">
      <c r="O21" s="333"/>
      <c r="P21" s="333"/>
      <c r="Q21" s="333"/>
      <c r="R21" s="333"/>
      <c r="S21" s="333"/>
    </row>
    <row r="22" spans="15:19" ht="23.8" x14ac:dyDescent="0.4">
      <c r="O22" s="333"/>
      <c r="P22" s="333"/>
      <c r="Q22" s="333"/>
      <c r="R22" s="333"/>
      <c r="S22" s="333"/>
    </row>
    <row r="23" spans="15:19" ht="23.8" x14ac:dyDescent="0.4">
      <c r="O23" s="333"/>
      <c r="P23" s="333"/>
      <c r="Q23" s="333"/>
      <c r="R23" s="333"/>
      <c r="S23" s="333"/>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Q7:X24"/>
  <sheetViews>
    <sheetView zoomScale="70" zoomScaleNormal="70" workbookViewId="0">
      <selection activeCell="S44" sqref="S44"/>
    </sheetView>
  </sheetViews>
  <sheetFormatPr defaultRowHeight="14.3" x14ac:dyDescent="0.25"/>
  <cols>
    <col min="17" max="17" width="28.5" bestFit="1" customWidth="1"/>
    <col min="18" max="18" width="15" bestFit="1" customWidth="1"/>
    <col min="19" max="19" width="33.625" customWidth="1"/>
    <col min="20" max="20" width="9.625" bestFit="1" customWidth="1"/>
    <col min="23" max="23" width="9.625" bestFit="1" customWidth="1"/>
  </cols>
  <sheetData>
    <row r="7" spans="17:24" ht="21.1" x14ac:dyDescent="0.35">
      <c r="Q7" s="338"/>
      <c r="R7" s="338"/>
      <c r="T7" s="339" t="s">
        <v>464</v>
      </c>
      <c r="U7" s="338"/>
      <c r="V7" s="338"/>
      <c r="W7" s="338"/>
      <c r="X7" s="338"/>
    </row>
    <row r="8" spans="17:24" ht="21.1" x14ac:dyDescent="0.35">
      <c r="Q8" s="338" t="s">
        <v>64</v>
      </c>
      <c r="R8" s="338"/>
      <c r="T8" s="338">
        <v>80</v>
      </c>
      <c r="U8" s="338"/>
      <c r="V8" s="338"/>
      <c r="W8" s="338"/>
      <c r="X8" s="338"/>
    </row>
    <row r="9" spans="17:24" ht="21.1" x14ac:dyDescent="0.35">
      <c r="Q9" s="338" t="s">
        <v>65</v>
      </c>
      <c r="R9" s="338"/>
      <c r="T9" s="338">
        <f>10*200/200</f>
        <v>10</v>
      </c>
      <c r="U9" s="338"/>
      <c r="V9" s="338"/>
      <c r="W9" s="338"/>
      <c r="X9" s="338"/>
    </row>
    <row r="10" spans="17:24" ht="21.1" x14ac:dyDescent="0.35">
      <c r="Q10" s="338" t="s">
        <v>375</v>
      </c>
      <c r="R10" s="338"/>
      <c r="S10" s="338"/>
      <c r="T10" s="338"/>
      <c r="U10" s="338"/>
      <c r="V10" s="338"/>
      <c r="W10" s="338"/>
      <c r="X10" s="338"/>
    </row>
    <row r="11" spans="17:24" ht="21.1" x14ac:dyDescent="0.35">
      <c r="Q11" s="338" t="s">
        <v>465</v>
      </c>
      <c r="R11" s="340">
        <f>2400/(15+25)</f>
        <v>60</v>
      </c>
      <c r="S11" s="338" t="s">
        <v>0</v>
      </c>
      <c r="T11" s="341">
        <f>R11*25/200</f>
        <v>7.5</v>
      </c>
      <c r="U11" s="338" t="s">
        <v>466</v>
      </c>
      <c r="V11" s="338"/>
      <c r="W11" s="338"/>
      <c r="X11" s="338"/>
    </row>
    <row r="12" spans="17:24" ht="21.1" x14ac:dyDescent="0.35">
      <c r="Q12" s="338" t="s">
        <v>467</v>
      </c>
      <c r="R12" s="340">
        <f>6000/(400+200)</f>
        <v>10</v>
      </c>
      <c r="S12" s="338" t="s">
        <v>372</v>
      </c>
      <c r="T12" s="342">
        <f>R12</f>
        <v>10</v>
      </c>
      <c r="U12" s="338" t="s">
        <v>372</v>
      </c>
      <c r="V12" s="338"/>
      <c r="W12" s="338"/>
      <c r="X12" s="338"/>
    </row>
    <row r="13" spans="17:24" ht="21.1" x14ac:dyDescent="0.35">
      <c r="Q13" s="338" t="s">
        <v>468</v>
      </c>
      <c r="R13" s="340">
        <f>18000/(400+200)</f>
        <v>30</v>
      </c>
      <c r="S13" s="338" t="s">
        <v>372</v>
      </c>
      <c r="T13" s="342">
        <f>R13</f>
        <v>30</v>
      </c>
      <c r="U13" s="338" t="s">
        <v>372</v>
      </c>
      <c r="V13" s="338"/>
      <c r="W13" s="338"/>
      <c r="X13" s="338"/>
    </row>
    <row r="14" spans="17:24" ht="21.1" x14ac:dyDescent="0.35">
      <c r="Q14" s="338" t="s">
        <v>469</v>
      </c>
      <c r="R14" s="340">
        <f>2100/R18</f>
        <v>105</v>
      </c>
      <c r="S14" s="338" t="s">
        <v>470</v>
      </c>
      <c r="T14" s="341">
        <f>R14*R16/200</f>
        <v>5.25</v>
      </c>
      <c r="U14" s="338" t="s">
        <v>372</v>
      </c>
      <c r="V14" s="338"/>
      <c r="W14" s="341">
        <f>R14/20</f>
        <v>5.25</v>
      </c>
      <c r="X14" s="338" t="s">
        <v>372</v>
      </c>
    </row>
    <row r="15" spans="17:24" ht="21.75" thickBot="1" x14ac:dyDescent="0.4">
      <c r="Q15" s="338"/>
      <c r="R15" s="338"/>
      <c r="S15" s="338" t="s">
        <v>471</v>
      </c>
      <c r="T15" s="343">
        <f>SUM(T8:T14)</f>
        <v>142.75</v>
      </c>
      <c r="U15" s="338" t="s">
        <v>472</v>
      </c>
      <c r="V15" s="338"/>
      <c r="W15" s="338"/>
      <c r="X15" s="338"/>
    </row>
    <row r="16" spans="17:24" ht="21.75" thickTop="1" x14ac:dyDescent="0.35">
      <c r="Q16" s="338"/>
      <c r="R16" s="338">
        <f>200/20</f>
        <v>10</v>
      </c>
      <c r="S16" s="338" t="s">
        <v>473</v>
      </c>
      <c r="T16" s="339"/>
      <c r="U16" s="338"/>
      <c r="V16" s="338"/>
      <c r="W16" s="338"/>
      <c r="X16" s="338"/>
    </row>
    <row r="17" spans="17:24" ht="21.1" x14ac:dyDescent="0.35">
      <c r="Q17" s="338"/>
      <c r="R17" s="338">
        <f>400/40</f>
        <v>10</v>
      </c>
      <c r="S17" s="338" t="s">
        <v>474</v>
      </c>
      <c r="T17" s="338"/>
      <c r="U17" s="338"/>
      <c r="V17" s="338"/>
      <c r="W17" s="338"/>
      <c r="X17" s="338"/>
    </row>
    <row r="18" spans="17:24" ht="21.1" x14ac:dyDescent="0.35">
      <c r="Q18" s="338"/>
      <c r="R18" s="338">
        <f>SUM(R16:R17)</f>
        <v>20</v>
      </c>
      <c r="S18" s="338" t="s">
        <v>475</v>
      </c>
      <c r="T18" s="338"/>
      <c r="U18" s="338"/>
      <c r="V18" s="338"/>
      <c r="W18" s="338"/>
      <c r="X18" s="338"/>
    </row>
    <row r="19" spans="17:24" ht="21.1" x14ac:dyDescent="0.35">
      <c r="Q19" s="338"/>
      <c r="R19" s="338"/>
      <c r="S19" s="338"/>
      <c r="T19" s="338"/>
      <c r="U19" s="338"/>
      <c r="V19" s="338"/>
      <c r="W19" s="338"/>
      <c r="X19" s="338"/>
    </row>
    <row r="20" spans="17:24" ht="21.1" x14ac:dyDescent="0.35">
      <c r="Q20" s="338"/>
      <c r="R20" s="338"/>
      <c r="S20" s="338"/>
      <c r="T20" s="338"/>
      <c r="U20" s="338"/>
      <c r="V20" s="338"/>
      <c r="W20" s="338"/>
      <c r="X20" s="338"/>
    </row>
    <row r="21" spans="17:24" ht="21.1" x14ac:dyDescent="0.35">
      <c r="Q21" s="338"/>
      <c r="R21" s="338"/>
      <c r="S21" s="338"/>
      <c r="T21" s="338"/>
      <c r="U21" s="338"/>
      <c r="V21" s="338"/>
      <c r="W21" s="338"/>
      <c r="X21" s="338"/>
    </row>
    <row r="22" spans="17:24" ht="21.1" x14ac:dyDescent="0.35">
      <c r="Q22" s="338"/>
      <c r="R22" s="338"/>
      <c r="S22" s="338"/>
      <c r="T22" s="338"/>
      <c r="U22" s="338"/>
      <c r="V22" s="338"/>
      <c r="W22" s="338"/>
      <c r="X22" s="338"/>
    </row>
    <row r="23" spans="17:24" ht="21.1" x14ac:dyDescent="0.35">
      <c r="Q23" s="338"/>
      <c r="R23" s="338"/>
      <c r="S23" s="338"/>
      <c r="T23" s="338"/>
      <c r="U23" s="338"/>
      <c r="V23" s="338"/>
      <c r="W23" s="338"/>
      <c r="X23" s="338"/>
    </row>
    <row r="24" spans="17:24" ht="21.1" x14ac:dyDescent="0.35">
      <c r="Q24" s="338"/>
      <c r="R24" s="338"/>
      <c r="S24" s="338"/>
      <c r="T24" s="338"/>
      <c r="U24" s="338"/>
      <c r="V24" s="338"/>
      <c r="W24" s="338"/>
      <c r="X24" s="338"/>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N19:U33"/>
  <sheetViews>
    <sheetView zoomScale="110" zoomScaleNormal="110" workbookViewId="0">
      <selection activeCell="M36" sqref="M36"/>
    </sheetView>
  </sheetViews>
  <sheetFormatPr defaultRowHeight="14.3" x14ac:dyDescent="0.25"/>
  <sheetData>
    <row r="19" spans="14:21" x14ac:dyDescent="0.25">
      <c r="O19" s="1" t="s">
        <v>365</v>
      </c>
      <c r="Q19" s="1" t="s">
        <v>366</v>
      </c>
      <c r="T19" s="1" t="s">
        <v>367</v>
      </c>
    </row>
    <row r="20" spans="14:21" x14ac:dyDescent="0.25">
      <c r="N20" t="s">
        <v>17</v>
      </c>
      <c r="O20" s="69">
        <v>2400</v>
      </c>
      <c r="Q20">
        <f>15+25</f>
        <v>40</v>
      </c>
      <c r="R20" t="s">
        <v>368</v>
      </c>
      <c r="T20" s="69">
        <f>O20/Q20</f>
        <v>60</v>
      </c>
      <c r="U20" t="s">
        <v>371</v>
      </c>
    </row>
    <row r="21" spans="14:21" x14ac:dyDescent="0.25">
      <c r="N21" t="s">
        <v>18</v>
      </c>
      <c r="O21" s="69">
        <v>6000</v>
      </c>
      <c r="Q21">
        <f>400+200</f>
        <v>600</v>
      </c>
      <c r="R21" t="s">
        <v>369</v>
      </c>
      <c r="T21" s="69">
        <f t="shared" ref="T21:T23" si="0">O21/Q21</f>
        <v>10</v>
      </c>
      <c r="U21" t="s">
        <v>372</v>
      </c>
    </row>
    <row r="22" spans="14:21" x14ac:dyDescent="0.25">
      <c r="N22" t="s">
        <v>19</v>
      </c>
      <c r="O22" s="69">
        <v>18000</v>
      </c>
      <c r="Q22">
        <f>Q21</f>
        <v>600</v>
      </c>
      <c r="R22" t="s">
        <v>369</v>
      </c>
      <c r="T22" s="69">
        <f t="shared" si="0"/>
        <v>30</v>
      </c>
      <c r="U22" t="s">
        <v>372</v>
      </c>
    </row>
    <row r="23" spans="14:21" x14ac:dyDescent="0.25">
      <c r="N23" t="s">
        <v>20</v>
      </c>
      <c r="O23" s="69">
        <v>2100</v>
      </c>
      <c r="Q23">
        <f>(400/40)+(200/20)</f>
        <v>20</v>
      </c>
      <c r="R23" t="s">
        <v>370</v>
      </c>
      <c r="T23" s="69">
        <f t="shared" si="0"/>
        <v>105</v>
      </c>
      <c r="U23" t="s">
        <v>373</v>
      </c>
    </row>
    <row r="25" spans="14:21" x14ac:dyDescent="0.25">
      <c r="N25" t="s">
        <v>378</v>
      </c>
    </row>
    <row r="26" spans="14:21" x14ac:dyDescent="0.25">
      <c r="N26" t="s">
        <v>64</v>
      </c>
      <c r="O26" s="71">
        <v>80</v>
      </c>
    </row>
    <row r="27" spans="14:21" x14ac:dyDescent="0.25">
      <c r="N27" t="s">
        <v>374</v>
      </c>
      <c r="O27" s="71">
        <f>10*200/200</f>
        <v>10</v>
      </c>
    </row>
    <row r="28" spans="14:21" x14ac:dyDescent="0.25">
      <c r="N28" t="s">
        <v>375</v>
      </c>
    </row>
    <row r="29" spans="14:21" x14ac:dyDescent="0.25">
      <c r="N29" t="str">
        <f>N20</f>
        <v>Activity 1</v>
      </c>
      <c r="O29" s="302">
        <f>T20*25/200</f>
        <v>7.5</v>
      </c>
    </row>
    <row r="30" spans="14:21" x14ac:dyDescent="0.25">
      <c r="N30" t="str">
        <f>N21</f>
        <v>Activity 2</v>
      </c>
      <c r="O30" s="69">
        <f>T21</f>
        <v>10</v>
      </c>
      <c r="P30" s="69"/>
    </row>
    <row r="31" spans="14:21" x14ac:dyDescent="0.25">
      <c r="N31" t="str">
        <f>N22</f>
        <v>Activity 3</v>
      </c>
      <c r="O31" s="69">
        <f>T22</f>
        <v>30</v>
      </c>
    </row>
    <row r="32" spans="14:21" x14ac:dyDescent="0.25">
      <c r="N32" t="str">
        <f>N23</f>
        <v>Activity 4</v>
      </c>
      <c r="O32" s="302">
        <f>T23/20</f>
        <v>5.25</v>
      </c>
      <c r="Q32" s="302">
        <f>T23*10/200</f>
        <v>5.25</v>
      </c>
    </row>
    <row r="33" spans="15:15" x14ac:dyDescent="0.25">
      <c r="O33" s="75">
        <f>SUM(O26:O32)</f>
        <v>142.75</v>
      </c>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2:J67"/>
  <sheetViews>
    <sheetView topLeftCell="A28" workbookViewId="0">
      <selection activeCell="Q31" sqref="Q31"/>
    </sheetView>
  </sheetViews>
  <sheetFormatPr defaultRowHeight="14.3" x14ac:dyDescent="0.25"/>
  <cols>
    <col min="1" max="2" width="9" style="63"/>
    <col min="3" max="3" width="22.875" style="63" customWidth="1"/>
    <col min="4" max="4" width="16.875" style="63" customWidth="1"/>
    <col min="5" max="5" width="2.25" style="63" customWidth="1"/>
    <col min="6" max="6" width="15.375" style="63" customWidth="1"/>
    <col min="7" max="7" width="15" style="63" customWidth="1"/>
    <col min="8" max="8" width="10.875" style="63" bestFit="1" customWidth="1"/>
    <col min="9" max="16384" width="9" style="63"/>
  </cols>
  <sheetData>
    <row r="12" spans="3:7" x14ac:dyDescent="0.25">
      <c r="D12" s="546" t="s">
        <v>233</v>
      </c>
      <c r="G12" s="546" t="s">
        <v>233</v>
      </c>
    </row>
    <row r="13" spans="3:7" x14ac:dyDescent="0.25">
      <c r="C13" s="547" t="s">
        <v>535</v>
      </c>
      <c r="D13" s="547" t="s">
        <v>657</v>
      </c>
      <c r="F13" s="547" t="s">
        <v>658</v>
      </c>
      <c r="G13" s="547" t="s">
        <v>535</v>
      </c>
    </row>
    <row r="14" spans="3:7" x14ac:dyDescent="0.25">
      <c r="C14" s="63" t="s">
        <v>300</v>
      </c>
      <c r="D14" s="548">
        <v>70000</v>
      </c>
      <c r="F14" s="63" t="s">
        <v>659</v>
      </c>
      <c r="G14" s="549">
        <v>2000</v>
      </c>
    </row>
    <row r="15" spans="3:7" x14ac:dyDescent="0.25">
      <c r="C15" s="63" t="s">
        <v>376</v>
      </c>
      <c r="D15" s="548">
        <v>87500</v>
      </c>
      <c r="F15" s="63" t="s">
        <v>660</v>
      </c>
      <c r="G15" s="549">
        <v>5000</v>
      </c>
    </row>
    <row r="16" spans="3:7" x14ac:dyDescent="0.25">
      <c r="C16" s="63" t="s">
        <v>661</v>
      </c>
      <c r="D16" s="548">
        <v>237500</v>
      </c>
      <c r="F16" s="550" t="s">
        <v>126</v>
      </c>
      <c r="G16" s="551">
        <v>10000</v>
      </c>
    </row>
    <row r="17" spans="3:7" x14ac:dyDescent="0.25">
      <c r="C17" s="63" t="s">
        <v>662</v>
      </c>
      <c r="D17" s="548">
        <v>18900</v>
      </c>
      <c r="F17" s="63" t="s">
        <v>663</v>
      </c>
      <c r="G17" s="549">
        <v>1200</v>
      </c>
    </row>
    <row r="18" spans="3:7" x14ac:dyDescent="0.25">
      <c r="C18" s="63" t="s">
        <v>27</v>
      </c>
      <c r="D18" s="548">
        <v>38000</v>
      </c>
      <c r="F18" s="63" t="s">
        <v>664</v>
      </c>
      <c r="G18" s="549">
        <v>3800</v>
      </c>
    </row>
    <row r="19" spans="3:7" x14ac:dyDescent="0.25">
      <c r="C19" s="550" t="s">
        <v>5</v>
      </c>
      <c r="D19" s="552">
        <f>SUM(D14:D18)</f>
        <v>451900</v>
      </c>
    </row>
    <row r="21" spans="3:7" x14ac:dyDescent="0.25">
      <c r="C21" s="63" t="s">
        <v>665</v>
      </c>
    </row>
    <row r="23" spans="3:7" x14ac:dyDescent="0.25">
      <c r="C23" s="63" t="s">
        <v>666</v>
      </c>
    </row>
    <row r="24" spans="3:7" x14ac:dyDescent="0.25">
      <c r="C24" s="63" t="s">
        <v>667</v>
      </c>
    </row>
    <row r="26" spans="3:7" x14ac:dyDescent="0.25">
      <c r="D26" s="547" t="s">
        <v>668</v>
      </c>
      <c r="E26" s="546"/>
      <c r="F26" s="547" t="s">
        <v>669</v>
      </c>
    </row>
    <row r="27" spans="3:7" x14ac:dyDescent="0.25">
      <c r="C27" s="63" t="s">
        <v>670</v>
      </c>
      <c r="D27" s="549">
        <v>25</v>
      </c>
      <c r="E27" s="549"/>
      <c r="F27" s="549">
        <v>8</v>
      </c>
    </row>
    <row r="28" spans="3:7" x14ac:dyDescent="0.25">
      <c r="C28" s="63" t="s">
        <v>671</v>
      </c>
      <c r="D28" s="549">
        <v>10</v>
      </c>
      <c r="E28" s="549"/>
      <c r="F28" s="549">
        <v>4</v>
      </c>
    </row>
    <row r="29" spans="3:7" x14ac:dyDescent="0.25">
      <c r="C29" s="553" t="s">
        <v>672</v>
      </c>
      <c r="D29" s="554">
        <v>40</v>
      </c>
      <c r="E29" s="554"/>
      <c r="F29" s="554">
        <v>60</v>
      </c>
    </row>
    <row r="30" spans="3:7" x14ac:dyDescent="0.25">
      <c r="C30" s="63" t="s">
        <v>673</v>
      </c>
      <c r="D30" s="549">
        <v>9</v>
      </c>
      <c r="E30" s="549"/>
      <c r="F30" s="549">
        <v>3</v>
      </c>
    </row>
    <row r="31" spans="3:7" x14ac:dyDescent="0.25">
      <c r="C31" s="63" t="s">
        <v>674</v>
      </c>
      <c r="D31" s="549">
        <v>15</v>
      </c>
      <c r="E31" s="549"/>
      <c r="F31" s="549">
        <v>6</v>
      </c>
    </row>
    <row r="33" spans="2:9" x14ac:dyDescent="0.25">
      <c r="B33" s="555" t="s">
        <v>577</v>
      </c>
      <c r="C33" s="63" t="s">
        <v>675</v>
      </c>
    </row>
    <row r="34" spans="2:9" x14ac:dyDescent="0.25">
      <c r="B34" s="555"/>
      <c r="C34" s="63" t="s">
        <v>676</v>
      </c>
    </row>
    <row r="35" spans="2:9" x14ac:dyDescent="0.25">
      <c r="B35" s="555"/>
      <c r="F35" s="556" t="s">
        <v>677</v>
      </c>
      <c r="G35" s="556" t="s">
        <v>678</v>
      </c>
      <c r="H35" s="547" t="s">
        <v>679</v>
      </c>
      <c r="I35" s="557"/>
    </row>
    <row r="36" spans="2:9" x14ac:dyDescent="0.25">
      <c r="B36" s="555"/>
      <c r="D36" s="557"/>
      <c r="F36" s="558">
        <f>D19</f>
        <v>451900</v>
      </c>
      <c r="G36" s="559">
        <f>G16</f>
        <v>10000</v>
      </c>
      <c r="H36" s="560">
        <f>F36/G36</f>
        <v>45.19</v>
      </c>
      <c r="I36" s="557" t="s">
        <v>680</v>
      </c>
    </row>
    <row r="37" spans="2:9" x14ac:dyDescent="0.25">
      <c r="B37" s="555"/>
      <c r="F37" s="561"/>
      <c r="G37" s="562"/>
      <c r="H37" s="563"/>
      <c r="I37" s="557"/>
    </row>
    <row r="38" spans="2:9" x14ac:dyDescent="0.25">
      <c r="B38" s="555"/>
      <c r="F38" s="564" t="str">
        <f>G35</f>
        <v>TOTAL Mach Hrs</v>
      </c>
      <c r="G38" s="565" t="str">
        <f>H35</f>
        <v>Rate</v>
      </c>
      <c r="H38" s="566" t="s">
        <v>677</v>
      </c>
      <c r="I38" s="557"/>
    </row>
    <row r="39" spans="2:9" x14ac:dyDescent="0.25">
      <c r="B39" s="555"/>
      <c r="D39" s="63" t="s">
        <v>668</v>
      </c>
      <c r="F39" s="559">
        <f>D29</f>
        <v>40</v>
      </c>
      <c r="G39" s="567">
        <f>H36</f>
        <v>45.19</v>
      </c>
      <c r="H39" s="568">
        <f>F39*G39</f>
        <v>1807.6</v>
      </c>
      <c r="I39" s="557"/>
    </row>
    <row r="40" spans="2:9" x14ac:dyDescent="0.25">
      <c r="B40" s="555"/>
      <c r="D40" s="63" t="s">
        <v>669</v>
      </c>
      <c r="F40" s="559">
        <f>F29</f>
        <v>60</v>
      </c>
      <c r="G40" s="567">
        <f>H36</f>
        <v>45.19</v>
      </c>
      <c r="H40" s="568">
        <f>F40*G40</f>
        <v>2711.3999999999996</v>
      </c>
      <c r="I40" s="557"/>
    </row>
    <row r="41" spans="2:9" x14ac:dyDescent="0.25">
      <c r="B41" s="555" t="s">
        <v>681</v>
      </c>
      <c r="C41" s="63" t="s">
        <v>682</v>
      </c>
      <c r="I41" s="557"/>
    </row>
    <row r="42" spans="2:9" ht="14.95" thickBot="1" x14ac:dyDescent="0.3">
      <c r="B42" s="555"/>
      <c r="D42" s="547" t="s">
        <v>535</v>
      </c>
      <c r="E42" s="546"/>
      <c r="F42" s="546" t="s">
        <v>367</v>
      </c>
    </row>
    <row r="43" spans="2:9" ht="14.95" thickBot="1" x14ac:dyDescent="0.3">
      <c r="B43" s="555"/>
      <c r="D43" s="63" t="s">
        <v>300</v>
      </c>
      <c r="F43" s="569">
        <f>D14/G14</f>
        <v>35</v>
      </c>
      <c r="G43" s="63" t="s">
        <v>371</v>
      </c>
      <c r="H43" s="557"/>
    </row>
    <row r="44" spans="2:9" ht="14.95" thickBot="1" x14ac:dyDescent="0.3">
      <c r="B44" s="555"/>
      <c r="D44" s="63" t="s">
        <v>376</v>
      </c>
      <c r="F44" s="569">
        <f>D15/G15</f>
        <v>17.5</v>
      </c>
      <c r="G44" s="63" t="s">
        <v>683</v>
      </c>
      <c r="H44" s="557"/>
    </row>
    <row r="45" spans="2:9" ht="14.95" thickBot="1" x14ac:dyDescent="0.3">
      <c r="B45" s="555"/>
      <c r="D45" s="63" t="s">
        <v>684</v>
      </c>
      <c r="F45" s="569">
        <f>D16/G16</f>
        <v>23.75</v>
      </c>
      <c r="G45" s="63" t="s">
        <v>685</v>
      </c>
      <c r="H45" s="557"/>
    </row>
    <row r="46" spans="2:9" ht="14.95" thickBot="1" x14ac:dyDescent="0.3">
      <c r="B46" s="555"/>
      <c r="D46" s="63" t="s">
        <v>686</v>
      </c>
      <c r="F46" s="569">
        <f>D17/G17</f>
        <v>15.75</v>
      </c>
      <c r="G46" s="63" t="s">
        <v>687</v>
      </c>
      <c r="H46" s="557"/>
    </row>
    <row r="47" spans="2:9" ht="14.95" thickBot="1" x14ac:dyDescent="0.3">
      <c r="B47" s="555"/>
      <c r="D47" s="63" t="s">
        <v>27</v>
      </c>
      <c r="F47" s="569">
        <f>D18/G18</f>
        <v>10</v>
      </c>
      <c r="G47" s="63" t="s">
        <v>44</v>
      </c>
      <c r="H47" s="557"/>
    </row>
    <row r="48" spans="2:9" x14ac:dyDescent="0.25">
      <c r="B48" s="555"/>
      <c r="F48" s="563"/>
    </row>
    <row r="49" spans="2:10" x14ac:dyDescent="0.25">
      <c r="B49" s="555"/>
    </row>
    <row r="50" spans="2:10" x14ac:dyDescent="0.25">
      <c r="B50" s="555" t="s">
        <v>688</v>
      </c>
      <c r="C50" s="63" t="s">
        <v>689</v>
      </c>
    </row>
    <row r="51" spans="2:10" x14ac:dyDescent="0.25">
      <c r="B51" s="555"/>
      <c r="C51" s="63" t="s">
        <v>690</v>
      </c>
      <c r="G51" s="300" t="s">
        <v>691</v>
      </c>
    </row>
    <row r="52" spans="2:10" ht="14.95" thickBot="1" x14ac:dyDescent="0.3">
      <c r="B52" s="555"/>
      <c r="G52" s="570" t="s">
        <v>668</v>
      </c>
      <c r="H52" s="570" t="s">
        <v>669</v>
      </c>
    </row>
    <row r="53" spans="2:10" ht="14.95" thickBot="1" x14ac:dyDescent="0.3">
      <c r="B53" s="555"/>
      <c r="F53" s="63" t="s">
        <v>300</v>
      </c>
      <c r="G53" s="569">
        <f>F43*D27</f>
        <v>875</v>
      </c>
      <c r="H53" s="569">
        <f>F43*F27</f>
        <v>280</v>
      </c>
    </row>
    <row r="54" spans="2:10" ht="14.95" thickBot="1" x14ac:dyDescent="0.3">
      <c r="B54" s="555"/>
      <c r="F54" s="63" t="s">
        <v>692</v>
      </c>
      <c r="G54" s="569">
        <f>F44*D28</f>
        <v>175</v>
      </c>
      <c r="H54" s="569">
        <f>F44*F28</f>
        <v>70</v>
      </c>
    </row>
    <row r="55" spans="2:10" ht="14.95" thickBot="1" x14ac:dyDescent="0.3">
      <c r="B55" s="555"/>
      <c r="F55" s="63" t="s">
        <v>693</v>
      </c>
      <c r="G55" s="569">
        <f>F45*D29</f>
        <v>950</v>
      </c>
      <c r="H55" s="569">
        <f>F45*F29</f>
        <v>1425</v>
      </c>
    </row>
    <row r="56" spans="2:10" ht="14.95" thickBot="1" x14ac:dyDescent="0.3">
      <c r="B56" s="555"/>
      <c r="F56" s="63" t="s">
        <v>377</v>
      </c>
      <c r="G56" s="569">
        <f>F46*D30</f>
        <v>141.75</v>
      </c>
      <c r="H56" s="569">
        <f>F46*F30</f>
        <v>47.25</v>
      </c>
    </row>
    <row r="57" spans="2:10" ht="14.95" thickBot="1" x14ac:dyDescent="0.3">
      <c r="B57" s="555"/>
      <c r="F57" s="63" t="s">
        <v>27</v>
      </c>
      <c r="G57" s="569">
        <f>F47*D31</f>
        <v>150</v>
      </c>
      <c r="H57" s="569">
        <f>F47*F31</f>
        <v>60</v>
      </c>
    </row>
    <row r="58" spans="2:10" ht="14.95" thickBot="1" x14ac:dyDescent="0.3">
      <c r="B58" s="555"/>
      <c r="F58" s="63" t="s">
        <v>5</v>
      </c>
      <c r="G58" s="571">
        <f>SUM(G53:G57)</f>
        <v>2291.75</v>
      </c>
      <c r="H58" s="571">
        <f>SUM(H53:H57)</f>
        <v>1882.25</v>
      </c>
    </row>
    <row r="59" spans="2:10" x14ac:dyDescent="0.25">
      <c r="B59" s="555"/>
    </row>
    <row r="60" spans="2:10" x14ac:dyDescent="0.25">
      <c r="B60" s="555" t="s">
        <v>694</v>
      </c>
      <c r="C60" s="63" t="s">
        <v>695</v>
      </c>
      <c r="J60" s="547" t="s">
        <v>696</v>
      </c>
    </row>
    <row r="61" spans="2:10" ht="14.95" thickBot="1" x14ac:dyDescent="0.3"/>
    <row r="62" spans="2:10" ht="14.95" thickBot="1" x14ac:dyDescent="0.3">
      <c r="C62" s="63" t="s">
        <v>697</v>
      </c>
      <c r="J62" s="572" t="s">
        <v>698</v>
      </c>
    </row>
    <row r="63" spans="2:10" x14ac:dyDescent="0.25">
      <c r="C63" s="63" t="s">
        <v>699</v>
      </c>
      <c r="J63" s="570"/>
    </row>
    <row r="64" spans="2:10" ht="14.95" thickBot="1" x14ac:dyDescent="0.3">
      <c r="J64" s="570"/>
    </row>
    <row r="65" spans="3:10" ht="14.95" thickBot="1" x14ac:dyDescent="0.3">
      <c r="C65" s="63" t="s">
        <v>700</v>
      </c>
      <c r="J65" s="572" t="s">
        <v>701</v>
      </c>
    </row>
    <row r="66" spans="3:10" ht="14.95" thickBot="1" x14ac:dyDescent="0.3">
      <c r="J66" s="64"/>
    </row>
    <row r="67" spans="3:10" ht="14.95" thickBot="1" x14ac:dyDescent="0.3">
      <c r="C67" s="63" t="s">
        <v>702</v>
      </c>
      <c r="J67" s="572" t="s">
        <v>703</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CCFF"/>
  </sheetPr>
  <dimension ref="A1:M39"/>
  <sheetViews>
    <sheetView workbookViewId="0">
      <selection activeCell="I37" sqref="I37"/>
    </sheetView>
  </sheetViews>
  <sheetFormatPr defaultRowHeight="14.3" x14ac:dyDescent="0.25"/>
  <cols>
    <col min="1" max="1" width="91.875" customWidth="1"/>
    <col min="2" max="2" width="9.625" customWidth="1"/>
    <col min="3" max="3" width="13.5" customWidth="1"/>
    <col min="4" max="4" width="14.625" bestFit="1" customWidth="1"/>
    <col min="5" max="5" width="19.625" customWidth="1"/>
    <col min="6" max="6" width="14.875" bestFit="1" customWidth="1"/>
    <col min="7" max="7" width="18.625" bestFit="1" customWidth="1"/>
    <col min="10" max="10" width="4.75" bestFit="1" customWidth="1"/>
    <col min="11" max="11" width="19" customWidth="1"/>
  </cols>
  <sheetData>
    <row r="1" spans="1:13" x14ac:dyDescent="0.25">
      <c r="A1" s="344" t="s">
        <v>476</v>
      </c>
      <c r="B1" s="344"/>
      <c r="C1" s="345" t="s">
        <v>477</v>
      </c>
      <c r="D1" s="346"/>
      <c r="E1" s="346"/>
      <c r="F1" s="346"/>
      <c r="G1" s="346"/>
    </row>
    <row r="2" spans="1:13" x14ac:dyDescent="0.25">
      <c r="A2" s="347" t="s">
        <v>478</v>
      </c>
      <c r="B2" s="347"/>
      <c r="C2" s="348" t="s">
        <v>184</v>
      </c>
      <c r="D2" s="349" t="s">
        <v>479</v>
      </c>
      <c r="E2" s="349" t="s">
        <v>480</v>
      </c>
      <c r="F2" s="349" t="s">
        <v>481</v>
      </c>
      <c r="G2" s="350" t="s">
        <v>482</v>
      </c>
    </row>
    <row r="3" spans="1:13" x14ac:dyDescent="0.25">
      <c r="A3" s="347" t="s">
        <v>483</v>
      </c>
      <c r="B3" s="347"/>
      <c r="C3" s="346" t="s">
        <v>484</v>
      </c>
      <c r="D3" s="351">
        <f>60000*1.25</f>
        <v>75000</v>
      </c>
      <c r="E3" s="352">
        <f>I4/I3*D6</f>
        <v>3000</v>
      </c>
      <c r="F3" s="351">
        <f>1/4*D7</f>
        <v>1250</v>
      </c>
      <c r="G3" s="353">
        <f>SUM(D3:F3)</f>
        <v>79250</v>
      </c>
      <c r="I3" s="1">
        <f>SUM(I4:I11)</f>
        <v>800</v>
      </c>
      <c r="J3" t="s">
        <v>485</v>
      </c>
      <c r="K3" t="s">
        <v>486</v>
      </c>
    </row>
    <row r="4" spans="1:13" x14ac:dyDescent="0.25">
      <c r="A4" s="347" t="s">
        <v>487</v>
      </c>
      <c r="B4" s="347"/>
      <c r="C4" s="346" t="s">
        <v>488</v>
      </c>
      <c r="D4" s="351">
        <f>2*40000*1.25</f>
        <v>100000</v>
      </c>
      <c r="E4" s="352">
        <f>I5/I3*D6</f>
        <v>4000</v>
      </c>
      <c r="F4" s="351">
        <f>2/4*D7</f>
        <v>2500</v>
      </c>
      <c r="G4" s="353">
        <f t="shared" ref="G4:G7" si="0">SUM(D4:F4)</f>
        <v>106500</v>
      </c>
      <c r="I4" s="354">
        <v>120</v>
      </c>
      <c r="J4" t="s">
        <v>485</v>
      </c>
      <c r="K4" t="s">
        <v>489</v>
      </c>
    </row>
    <row r="5" spans="1:13" x14ac:dyDescent="0.25">
      <c r="A5" s="347" t="s">
        <v>490</v>
      </c>
      <c r="B5" s="347"/>
      <c r="C5" s="346" t="s">
        <v>491</v>
      </c>
      <c r="D5" s="351">
        <f>32000*1.25</f>
        <v>40000</v>
      </c>
      <c r="E5" s="352">
        <f>I6/I3*D6</f>
        <v>2000</v>
      </c>
      <c r="F5" s="351">
        <f>1/4*D7</f>
        <v>1250</v>
      </c>
      <c r="G5" s="353">
        <f t="shared" si="0"/>
        <v>43250</v>
      </c>
      <c r="I5" s="354">
        <f>80*2</f>
        <v>160</v>
      </c>
      <c r="J5" t="s">
        <v>485</v>
      </c>
      <c r="K5" t="s">
        <v>492</v>
      </c>
    </row>
    <row r="6" spans="1:13" x14ac:dyDescent="0.25">
      <c r="A6" s="347" t="s">
        <v>493</v>
      </c>
      <c r="B6" s="347"/>
      <c r="C6" s="347" t="s">
        <v>494</v>
      </c>
      <c r="D6" s="351">
        <f>800*25</f>
        <v>20000</v>
      </c>
      <c r="E6" s="351">
        <f>-SUM(E3:E5)</f>
        <v>-9000</v>
      </c>
      <c r="F6" s="351"/>
      <c r="G6" s="355">
        <f t="shared" si="0"/>
        <v>11000</v>
      </c>
      <c r="H6" t="s">
        <v>495</v>
      </c>
      <c r="I6" s="354">
        <f>80</f>
        <v>80</v>
      </c>
      <c r="J6" t="s">
        <v>485</v>
      </c>
      <c r="K6" t="s">
        <v>496</v>
      </c>
    </row>
    <row r="7" spans="1:13" x14ac:dyDescent="0.25">
      <c r="A7" s="347" t="s">
        <v>497</v>
      </c>
      <c r="B7" s="347"/>
      <c r="C7" s="356" t="s">
        <v>498</v>
      </c>
      <c r="D7" s="357">
        <f>4*1250</f>
        <v>5000</v>
      </c>
      <c r="E7" s="357"/>
      <c r="F7" s="357">
        <f>-SUM(F3:F5)</f>
        <v>-5000</v>
      </c>
      <c r="G7" s="357">
        <f t="shared" si="0"/>
        <v>0</v>
      </c>
      <c r="I7" s="358"/>
    </row>
    <row r="8" spans="1:13" ht="14.95" thickBot="1" x14ac:dyDescent="0.3">
      <c r="A8" s="347" t="s">
        <v>499</v>
      </c>
      <c r="B8" s="347"/>
      <c r="D8" s="359">
        <f>SUM(D3:D7)</f>
        <v>240000</v>
      </c>
      <c r="G8" s="359">
        <f>SUM(G3:G7)</f>
        <v>240000</v>
      </c>
      <c r="I8" s="358"/>
    </row>
    <row r="9" spans="1:13" ht="14.95" thickTop="1" x14ac:dyDescent="0.25">
      <c r="A9" s="347" t="s">
        <v>500</v>
      </c>
      <c r="B9" s="347"/>
      <c r="C9" s="345" t="s">
        <v>501</v>
      </c>
      <c r="D9" s="346"/>
      <c r="E9" s="346"/>
      <c r="F9" s="346"/>
      <c r="G9" s="346"/>
      <c r="I9" s="358"/>
    </row>
    <row r="10" spans="1:13" x14ac:dyDescent="0.25">
      <c r="A10" s="347" t="s">
        <v>502</v>
      </c>
      <c r="B10" s="347"/>
      <c r="C10" s="345" t="s">
        <v>503</v>
      </c>
      <c r="D10" s="346"/>
      <c r="E10" s="346"/>
      <c r="F10" s="346"/>
      <c r="G10" s="346"/>
      <c r="I10" s="360">
        <v>200</v>
      </c>
      <c r="J10" t="s">
        <v>485</v>
      </c>
      <c r="K10" t="s">
        <v>504</v>
      </c>
    </row>
    <row r="11" spans="1:13" x14ac:dyDescent="0.25">
      <c r="A11" s="347" t="s">
        <v>505</v>
      </c>
      <c r="B11" s="347"/>
      <c r="C11" s="348" t="s">
        <v>184</v>
      </c>
      <c r="D11" s="348" t="s">
        <v>506</v>
      </c>
      <c r="E11" s="361" t="s">
        <v>507</v>
      </c>
      <c r="F11" s="361" t="s">
        <v>508</v>
      </c>
      <c r="G11" s="361" t="s">
        <v>509</v>
      </c>
      <c r="I11" s="360">
        <v>240</v>
      </c>
      <c r="J11" t="s">
        <v>485</v>
      </c>
      <c r="K11" t="s">
        <v>510</v>
      </c>
      <c r="L11" s="122">
        <v>0.25</v>
      </c>
      <c r="M11" t="s">
        <v>511</v>
      </c>
    </row>
    <row r="12" spans="1:13" x14ac:dyDescent="0.25">
      <c r="A12" s="347" t="s">
        <v>512</v>
      </c>
      <c r="B12" s="347"/>
      <c r="C12" s="346" t="s">
        <v>513</v>
      </c>
      <c r="D12" s="346" t="s">
        <v>514</v>
      </c>
      <c r="E12" s="362">
        <v>0.2</v>
      </c>
      <c r="F12" s="363">
        <v>0.2</v>
      </c>
      <c r="G12" s="363">
        <v>0.6</v>
      </c>
      <c r="H12" s="122">
        <f>SUM(E12:G12)</f>
        <v>1</v>
      </c>
      <c r="I12">
        <f>SUM(I10:I11)</f>
        <v>440</v>
      </c>
      <c r="L12" s="122">
        <v>0.75</v>
      </c>
      <c r="M12" t="s">
        <v>515</v>
      </c>
    </row>
    <row r="13" spans="1:13" x14ac:dyDescent="0.25">
      <c r="C13" s="346" t="s">
        <v>516</v>
      </c>
      <c r="D13" s="346" t="s">
        <v>514</v>
      </c>
      <c r="E13" s="362">
        <v>0.25</v>
      </c>
      <c r="F13" s="363"/>
      <c r="G13" s="363">
        <v>0.75</v>
      </c>
      <c r="H13" s="122">
        <f t="shared" ref="H13:H15" si="1">SUM(E13:G13)</f>
        <v>1</v>
      </c>
    </row>
    <row r="14" spans="1:13" x14ac:dyDescent="0.25">
      <c r="A14" s="347" t="s">
        <v>517</v>
      </c>
      <c r="B14" s="347"/>
      <c r="C14" s="346" t="s">
        <v>518</v>
      </c>
      <c r="D14" s="346" t="s">
        <v>519</v>
      </c>
      <c r="E14" s="362"/>
      <c r="F14" s="363">
        <v>1</v>
      </c>
      <c r="G14" s="363"/>
      <c r="H14" s="122">
        <f t="shared" si="1"/>
        <v>1</v>
      </c>
    </row>
    <row r="15" spans="1:13" x14ac:dyDescent="0.25">
      <c r="A15" s="347" t="s">
        <v>520</v>
      </c>
      <c r="B15" s="347"/>
      <c r="C15" s="347" t="s">
        <v>494</v>
      </c>
      <c r="D15" s="347" t="s">
        <v>521</v>
      </c>
      <c r="E15" s="362">
        <f>I11/I12*L11</f>
        <v>0.13636363636363635</v>
      </c>
      <c r="F15" s="363">
        <f>I10/I12</f>
        <v>0.45454545454545453</v>
      </c>
      <c r="G15" s="363">
        <f>I11/I12*L12</f>
        <v>0.40909090909090906</v>
      </c>
      <c r="H15" s="122">
        <f t="shared" si="1"/>
        <v>0.99999999999999989</v>
      </c>
      <c r="I15" s="362"/>
      <c r="J15" s="363"/>
      <c r="K15" s="363"/>
    </row>
    <row r="16" spans="1:13" x14ac:dyDescent="0.25">
      <c r="B16" s="346"/>
      <c r="C16" s="347"/>
      <c r="D16" s="347"/>
    </row>
    <row r="17" spans="1:7" x14ac:dyDescent="0.25">
      <c r="A17" s="346" t="s">
        <v>522</v>
      </c>
      <c r="B17" s="346"/>
      <c r="C17" s="364" t="s">
        <v>523</v>
      </c>
      <c r="D17" s="347"/>
      <c r="E17" s="347"/>
      <c r="F17" s="365"/>
      <c r="G17" s="365"/>
    </row>
    <row r="18" spans="1:7" x14ac:dyDescent="0.25">
      <c r="A18" s="346" t="s">
        <v>524</v>
      </c>
      <c r="B18" s="346"/>
      <c r="C18" s="348" t="s">
        <v>184</v>
      </c>
      <c r="D18" s="348" t="s">
        <v>525</v>
      </c>
      <c r="E18" s="361" t="s">
        <v>507</v>
      </c>
      <c r="F18" s="361" t="s">
        <v>508</v>
      </c>
      <c r="G18" s="361" t="s">
        <v>509</v>
      </c>
    </row>
    <row r="19" spans="1:7" x14ac:dyDescent="0.25">
      <c r="B19" s="346"/>
      <c r="C19" s="346" t="s">
        <v>513</v>
      </c>
      <c r="D19" s="366">
        <f>G3</f>
        <v>79250</v>
      </c>
      <c r="E19" s="367">
        <f>D19*E12</f>
        <v>15850</v>
      </c>
      <c r="F19" s="367">
        <f>D19*F12</f>
        <v>15850</v>
      </c>
      <c r="G19" s="367">
        <f>D19*G12</f>
        <v>47550</v>
      </c>
    </row>
    <row r="20" spans="1:7" x14ac:dyDescent="0.25">
      <c r="A20" s="346" t="s">
        <v>526</v>
      </c>
      <c r="B20" s="346"/>
      <c r="C20" s="346" t="s">
        <v>516</v>
      </c>
      <c r="D20" s="366">
        <f t="shared" ref="D20:D22" si="2">G4</f>
        <v>106500</v>
      </c>
      <c r="E20" s="367">
        <f>D20*E13</f>
        <v>26625</v>
      </c>
      <c r="F20" s="367"/>
      <c r="G20" s="367">
        <f>D20*G13</f>
        <v>79875</v>
      </c>
    </row>
    <row r="21" spans="1:7" x14ac:dyDescent="0.25">
      <c r="A21" s="346" t="s">
        <v>527</v>
      </c>
      <c r="B21" s="346"/>
      <c r="C21" s="346" t="s">
        <v>518</v>
      </c>
      <c r="D21" s="366">
        <f t="shared" si="2"/>
        <v>43250</v>
      </c>
      <c r="E21" s="367"/>
      <c r="F21" s="367">
        <f>D21</f>
        <v>43250</v>
      </c>
      <c r="G21" s="367"/>
    </row>
    <row r="22" spans="1:7" x14ac:dyDescent="0.25">
      <c r="B22" s="346"/>
      <c r="C22" s="347" t="s">
        <v>494</v>
      </c>
      <c r="D22" s="366">
        <f t="shared" si="2"/>
        <v>11000</v>
      </c>
      <c r="E22" s="367">
        <f>D22*E15</f>
        <v>1500</v>
      </c>
      <c r="F22" s="368">
        <f>D22*F15</f>
        <v>5000</v>
      </c>
      <c r="G22" s="367">
        <f>D22*G15</f>
        <v>4500</v>
      </c>
    </row>
    <row r="23" spans="1:7" ht="14.95" thickBot="1" x14ac:dyDescent="0.3">
      <c r="A23" s="346" t="s">
        <v>528</v>
      </c>
      <c r="B23" s="346"/>
      <c r="C23" s="364" t="s">
        <v>5</v>
      </c>
      <c r="D23" s="369">
        <f>SUM(D19:D22)</f>
        <v>240000</v>
      </c>
      <c r="E23" s="370">
        <f>SUM(E19:E22)</f>
        <v>43975</v>
      </c>
      <c r="F23" s="370">
        <f t="shared" ref="F23:G23" si="3">SUM(F19:F22)</f>
        <v>64100</v>
      </c>
      <c r="G23" s="370">
        <f t="shared" si="3"/>
        <v>131925</v>
      </c>
    </row>
    <row r="24" spans="1:7" ht="14.95" thickTop="1" x14ac:dyDescent="0.25">
      <c r="A24" s="346" t="s">
        <v>529</v>
      </c>
      <c r="B24" s="346"/>
    </row>
    <row r="25" spans="1:7" x14ac:dyDescent="0.25">
      <c r="A25" s="346" t="s">
        <v>530</v>
      </c>
      <c r="B25" s="346"/>
      <c r="C25" s="364" t="s">
        <v>531</v>
      </c>
      <c r="D25" s="347"/>
      <c r="E25" s="347"/>
      <c r="F25" s="347"/>
      <c r="G25" s="347"/>
    </row>
    <row r="26" spans="1:7" x14ac:dyDescent="0.25">
      <c r="A26" s="346" t="s">
        <v>532</v>
      </c>
      <c r="C26" s="364" t="s">
        <v>533</v>
      </c>
      <c r="D26" s="347"/>
      <c r="E26" s="347"/>
      <c r="F26" s="347"/>
      <c r="G26" s="347"/>
    </row>
    <row r="27" spans="1:7" x14ac:dyDescent="0.25">
      <c r="A27" s="346" t="s">
        <v>534</v>
      </c>
      <c r="C27" s="348" t="s">
        <v>535</v>
      </c>
      <c r="D27" s="348" t="s">
        <v>525</v>
      </c>
      <c r="E27" s="348" t="s">
        <v>536</v>
      </c>
      <c r="F27" s="348" t="s">
        <v>537</v>
      </c>
      <c r="G27" s="348" t="s">
        <v>185</v>
      </c>
    </row>
    <row r="28" spans="1:7" x14ac:dyDescent="0.25">
      <c r="B28" t="s">
        <v>17</v>
      </c>
      <c r="C28" s="347" t="s">
        <v>507</v>
      </c>
      <c r="D28" s="371">
        <f>E23</f>
        <v>43975</v>
      </c>
      <c r="E28" s="347" t="s">
        <v>538</v>
      </c>
      <c r="F28" s="372">
        <v>500</v>
      </c>
      <c r="G28" s="373">
        <f>D28/F28</f>
        <v>87.95</v>
      </c>
    </row>
    <row r="29" spans="1:7" x14ac:dyDescent="0.25">
      <c r="A29" s="346" t="s">
        <v>539</v>
      </c>
      <c r="B29" t="s">
        <v>18</v>
      </c>
      <c r="C29" s="347" t="s">
        <v>508</v>
      </c>
      <c r="D29" s="371">
        <f>F23</f>
        <v>64100</v>
      </c>
      <c r="E29" s="347" t="s">
        <v>540</v>
      </c>
      <c r="F29" s="374">
        <v>2000</v>
      </c>
      <c r="G29" s="373">
        <f t="shared" ref="G29:G30" si="4">D29/F29</f>
        <v>32.049999999999997</v>
      </c>
    </row>
    <row r="30" spans="1:7" x14ac:dyDescent="0.25">
      <c r="B30" t="s">
        <v>19</v>
      </c>
      <c r="C30" s="347" t="s">
        <v>509</v>
      </c>
      <c r="D30" s="371">
        <f>G23</f>
        <v>131925</v>
      </c>
      <c r="E30" s="347" t="s">
        <v>541</v>
      </c>
      <c r="F30" s="372">
        <v>750</v>
      </c>
      <c r="G30" s="373">
        <f t="shared" si="4"/>
        <v>175.9</v>
      </c>
    </row>
    <row r="31" spans="1:7" x14ac:dyDescent="0.25">
      <c r="C31" s="348" t="s">
        <v>535</v>
      </c>
      <c r="D31" s="348" t="s">
        <v>185</v>
      </c>
      <c r="E31" s="348" t="s">
        <v>542</v>
      </c>
      <c r="F31" s="348" t="s">
        <v>543</v>
      </c>
      <c r="G31" s="348"/>
    </row>
    <row r="32" spans="1:7" x14ac:dyDescent="0.25">
      <c r="C32" s="347" t="s">
        <v>507</v>
      </c>
      <c r="D32" s="365">
        <f>G28</f>
        <v>87.95</v>
      </c>
      <c r="E32" s="375">
        <v>87</v>
      </c>
      <c r="F32" s="376" t="str">
        <f>E38</f>
        <v>Keep/Continue</v>
      </c>
      <c r="G32" s="347"/>
    </row>
    <row r="33" spans="3:7" x14ac:dyDescent="0.25">
      <c r="C33" s="347" t="s">
        <v>508</v>
      </c>
      <c r="D33" s="365">
        <f>G29</f>
        <v>32.049999999999997</v>
      </c>
      <c r="E33" s="375">
        <v>32</v>
      </c>
      <c r="F33" s="376" t="str">
        <f>E38</f>
        <v>Keep/Continue</v>
      </c>
      <c r="G33" s="347"/>
    </row>
    <row r="34" spans="3:7" x14ac:dyDescent="0.25">
      <c r="C34" s="347" t="s">
        <v>509</v>
      </c>
      <c r="D34" s="365">
        <f>G30</f>
        <v>175.9</v>
      </c>
      <c r="E34" s="375">
        <v>150</v>
      </c>
      <c r="F34" s="376" t="str">
        <f>E39</f>
        <v>Improve</v>
      </c>
      <c r="G34" s="347"/>
    </row>
    <row r="35" spans="3:7" ht="14.95" thickBot="1" x14ac:dyDescent="0.3"/>
    <row r="36" spans="3:7" x14ac:dyDescent="0.25">
      <c r="C36" s="765" t="s">
        <v>544</v>
      </c>
      <c r="D36" s="766"/>
      <c r="E36" s="769" t="s">
        <v>545</v>
      </c>
      <c r="F36" s="770"/>
    </row>
    <row r="37" spans="3:7" ht="14.95" thickBot="1" x14ac:dyDescent="0.3">
      <c r="C37" s="767"/>
      <c r="D37" s="768"/>
      <c r="E37" s="377" t="s">
        <v>546</v>
      </c>
      <c r="F37" s="378" t="s">
        <v>547</v>
      </c>
    </row>
    <row r="38" spans="3:7" x14ac:dyDescent="0.25">
      <c r="C38" s="771" t="s">
        <v>548</v>
      </c>
      <c r="D38" s="379" t="s">
        <v>546</v>
      </c>
      <c r="E38" s="380" t="s">
        <v>549</v>
      </c>
      <c r="F38" s="381" t="s">
        <v>550</v>
      </c>
    </row>
    <row r="39" spans="3:7" ht="14.95" thickBot="1" x14ac:dyDescent="0.3">
      <c r="C39" s="772"/>
      <c r="D39" s="382" t="s">
        <v>547</v>
      </c>
      <c r="E39" s="383" t="s">
        <v>551</v>
      </c>
      <c r="F39" s="384" t="s">
        <v>552</v>
      </c>
    </row>
  </sheetData>
  <mergeCells count="3">
    <mergeCell ref="C36:D37"/>
    <mergeCell ref="E36:F36"/>
    <mergeCell ref="C38:C3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CCFF"/>
  </sheetPr>
  <dimension ref="A1:X62"/>
  <sheetViews>
    <sheetView workbookViewId="0">
      <selection activeCell="U35" sqref="U35"/>
    </sheetView>
  </sheetViews>
  <sheetFormatPr defaultRowHeight="14.3" x14ac:dyDescent="0.25"/>
  <cols>
    <col min="3" max="3" width="16.125" customWidth="1"/>
    <col min="4" max="4" width="17.5" customWidth="1"/>
    <col min="5" max="5" width="11.75" customWidth="1"/>
    <col min="6" max="6" width="10.125" customWidth="1"/>
    <col min="7" max="7" width="11.875" customWidth="1"/>
    <col min="10" max="10" width="7.375" customWidth="1"/>
    <col min="11" max="11" width="20.375" customWidth="1"/>
    <col min="12" max="12" width="11.25" customWidth="1"/>
    <col min="13" max="13" width="9" customWidth="1"/>
    <col min="14" max="14" width="6" customWidth="1"/>
    <col min="15" max="15" width="8.125" customWidth="1"/>
    <col min="16" max="16" width="3.25" bestFit="1" customWidth="1"/>
    <col min="17" max="17" width="7.375" customWidth="1"/>
    <col min="18" max="18" width="5.75" customWidth="1"/>
    <col min="19" max="19" width="8.5" customWidth="1"/>
    <col min="20" max="20" width="4.25" bestFit="1" customWidth="1"/>
    <col min="21" max="21" width="7.75" customWidth="1"/>
    <col min="22" max="22" width="4.25" bestFit="1" customWidth="1"/>
    <col min="23" max="23" width="6" customWidth="1"/>
  </cols>
  <sheetData>
    <row r="1" spans="11:24" ht="14.95" thickBot="1" x14ac:dyDescent="0.3"/>
    <row r="2" spans="11:24" ht="14.95" thickBot="1" x14ac:dyDescent="0.3">
      <c r="L2" s="1" t="s">
        <v>553</v>
      </c>
      <c r="N2" s="777" t="s">
        <v>508</v>
      </c>
      <c r="O2" s="778"/>
      <c r="P2" s="755" t="s">
        <v>554</v>
      </c>
      <c r="Q2" s="756"/>
      <c r="R2" s="773" t="s">
        <v>555</v>
      </c>
      <c r="S2" s="774"/>
      <c r="T2" s="755" t="s">
        <v>556</v>
      </c>
      <c r="U2" s="756"/>
      <c r="V2" s="755" t="s">
        <v>557</v>
      </c>
      <c r="W2" s="756"/>
      <c r="X2" t="s">
        <v>558</v>
      </c>
    </row>
    <row r="3" spans="11:24" x14ac:dyDescent="0.25">
      <c r="K3" t="s">
        <v>559</v>
      </c>
      <c r="L3">
        <f>80000*1.3</f>
        <v>104000</v>
      </c>
      <c r="N3" s="385">
        <v>0.4</v>
      </c>
      <c r="O3" s="386">
        <f>L3*N3</f>
        <v>41600</v>
      </c>
      <c r="P3" s="7"/>
      <c r="Q3" s="7"/>
      <c r="R3" s="387"/>
      <c r="S3" s="387"/>
      <c r="T3" s="7"/>
      <c r="U3" s="7"/>
      <c r="V3" s="7"/>
      <c r="W3" s="8"/>
      <c r="X3" s="122">
        <f>N3+P3+R3+T3+V3</f>
        <v>0.4</v>
      </c>
    </row>
    <row r="4" spans="11:24" x14ac:dyDescent="0.25">
      <c r="K4" t="s">
        <v>560</v>
      </c>
      <c r="L4">
        <f>80000*1.3</f>
        <v>104000</v>
      </c>
      <c r="N4" s="388"/>
      <c r="O4" s="386"/>
      <c r="P4" s="7"/>
      <c r="Q4" s="7"/>
      <c r="R4" s="389">
        <v>0.5</v>
      </c>
      <c r="S4" s="387">
        <f>R4*L4</f>
        <v>52000</v>
      </c>
      <c r="T4" s="390"/>
      <c r="U4" s="7"/>
      <c r="V4" s="390"/>
      <c r="W4" s="8"/>
      <c r="X4" s="122">
        <f t="shared" ref="X4:X5" si="0">N4+P4+R4+T4+V4</f>
        <v>0.5</v>
      </c>
    </row>
    <row r="5" spans="11:24" x14ac:dyDescent="0.25">
      <c r="K5" t="s">
        <v>561</v>
      </c>
      <c r="L5">
        <f>11*60000</f>
        <v>660000</v>
      </c>
      <c r="N5" s="385">
        <v>1</v>
      </c>
      <c r="O5" s="386">
        <f>L5</f>
        <v>660000</v>
      </c>
      <c r="P5" s="7"/>
      <c r="Q5" s="7"/>
      <c r="R5" s="387"/>
      <c r="S5" s="387"/>
      <c r="T5" s="7"/>
      <c r="U5" s="7"/>
      <c r="V5" s="7"/>
      <c r="W5" s="8"/>
      <c r="X5" s="122">
        <f t="shared" si="0"/>
        <v>1</v>
      </c>
    </row>
    <row r="6" spans="11:24" x14ac:dyDescent="0.25">
      <c r="K6" t="s">
        <v>562</v>
      </c>
      <c r="L6">
        <f>38*50000</f>
        <v>1900000</v>
      </c>
      <c r="N6" s="388"/>
      <c r="O6" s="386"/>
      <c r="P6" s="7"/>
      <c r="Q6" s="7"/>
      <c r="R6" s="389">
        <v>1</v>
      </c>
      <c r="S6" s="387">
        <f>L6</f>
        <v>1900000</v>
      </c>
      <c r="T6" s="7"/>
      <c r="U6" s="7"/>
      <c r="V6" s="7"/>
      <c r="W6" s="8"/>
    </row>
    <row r="7" spans="11:24" x14ac:dyDescent="0.25">
      <c r="K7" t="s">
        <v>563</v>
      </c>
      <c r="L7">
        <v>1000000</v>
      </c>
      <c r="N7" s="391">
        <f>L16/L19</f>
        <v>0.16</v>
      </c>
      <c r="O7" s="386">
        <f>L7*N7</f>
        <v>160000</v>
      </c>
      <c r="P7" s="392"/>
      <c r="Q7" s="7"/>
      <c r="R7" s="393">
        <f>L17/L19</f>
        <v>0.76</v>
      </c>
      <c r="S7" s="387">
        <f>R7*L7</f>
        <v>760000</v>
      </c>
      <c r="T7" s="392"/>
      <c r="U7" s="7"/>
      <c r="V7" s="392"/>
      <c r="W7" s="8"/>
      <c r="X7" s="122">
        <f>N7+P7+R7+T7+V7</f>
        <v>0.92</v>
      </c>
    </row>
    <row r="8" spans="11:24" x14ac:dyDescent="0.25">
      <c r="K8" t="s">
        <v>564</v>
      </c>
      <c r="L8">
        <f>15000</f>
        <v>15000</v>
      </c>
      <c r="N8" s="385">
        <v>1</v>
      </c>
      <c r="O8" s="386">
        <f>L8</f>
        <v>15000</v>
      </c>
      <c r="P8" s="7"/>
      <c r="Q8" s="7"/>
      <c r="R8" s="387"/>
      <c r="S8" s="387"/>
      <c r="T8" s="7"/>
      <c r="U8" s="7"/>
      <c r="V8" s="7"/>
      <c r="W8" s="8"/>
      <c r="X8" s="122">
        <f>N8+P8+R8+T8+V8</f>
        <v>1</v>
      </c>
    </row>
    <row r="9" spans="11:24" x14ac:dyDescent="0.25">
      <c r="K9" t="s">
        <v>565</v>
      </c>
      <c r="L9">
        <v>125000</v>
      </c>
      <c r="N9" s="385">
        <v>1</v>
      </c>
      <c r="O9" s="386">
        <f>L9</f>
        <v>125000</v>
      </c>
      <c r="P9" s="7"/>
      <c r="Q9" s="7"/>
      <c r="R9" s="387"/>
      <c r="S9" s="387"/>
      <c r="T9" s="7"/>
      <c r="U9" s="7"/>
      <c r="V9" s="7"/>
      <c r="W9" s="8"/>
      <c r="X9" s="122">
        <f>N9+P9+R9+T9+V9</f>
        <v>1</v>
      </c>
    </row>
    <row r="10" spans="11:24" x14ac:dyDescent="0.25">
      <c r="K10" t="s">
        <v>566</v>
      </c>
      <c r="L10">
        <f>60000+50000</f>
        <v>110000</v>
      </c>
      <c r="N10" s="388"/>
      <c r="O10" s="386"/>
      <c r="P10" s="7"/>
      <c r="Q10" s="7"/>
      <c r="R10" s="389">
        <v>1</v>
      </c>
      <c r="S10" s="387">
        <f>L10</f>
        <v>110000</v>
      </c>
      <c r="T10" s="7"/>
      <c r="U10" s="7"/>
      <c r="V10" s="7"/>
      <c r="W10" s="8"/>
      <c r="X10" s="122">
        <f>N10+P10+R10+T10+V10</f>
        <v>1</v>
      </c>
    </row>
    <row r="11" spans="11:24" ht="14.95" thickBot="1" x14ac:dyDescent="0.3">
      <c r="K11" t="s">
        <v>186</v>
      </c>
      <c r="L11">
        <v>120000</v>
      </c>
      <c r="N11" s="394">
        <f>L22/L21</f>
        <v>0.25333333333333335</v>
      </c>
      <c r="O11" s="395">
        <f>N11*L11</f>
        <v>30400.000000000004</v>
      </c>
      <c r="P11" s="12"/>
      <c r="Q11" s="12"/>
      <c r="R11" s="396">
        <f>L23/L21</f>
        <v>0.48</v>
      </c>
      <c r="S11" s="397">
        <f>L11*R11</f>
        <v>57600</v>
      </c>
      <c r="T11" s="12"/>
      <c r="U11" s="12"/>
      <c r="V11" s="12"/>
      <c r="W11" s="13"/>
      <c r="X11" s="122">
        <f>N11+P11+R11+T11+V11</f>
        <v>0.73333333333333339</v>
      </c>
    </row>
    <row r="12" spans="11:24" ht="14.95" thickBot="1" x14ac:dyDescent="0.3">
      <c r="L12" s="1">
        <f>SUM(L3:L11)</f>
        <v>4138000</v>
      </c>
      <c r="O12" s="398">
        <f>SUM(O3:O11)</f>
        <v>1032000</v>
      </c>
      <c r="S12" s="399">
        <f>SUM(S3:S11)</f>
        <v>2879600</v>
      </c>
    </row>
    <row r="13" spans="11:24" ht="14.95" thickTop="1" x14ac:dyDescent="0.25"/>
    <row r="15" spans="11:24" x14ac:dyDescent="0.25">
      <c r="K15" s="1" t="s">
        <v>567</v>
      </c>
      <c r="L15" s="1">
        <v>50000</v>
      </c>
      <c r="M15" s="1" t="s">
        <v>485</v>
      </c>
    </row>
    <row r="16" spans="11:24" x14ac:dyDescent="0.25">
      <c r="K16" t="s">
        <v>568</v>
      </c>
      <c r="L16">
        <v>8000</v>
      </c>
      <c r="M16" t="s">
        <v>485</v>
      </c>
    </row>
    <row r="17" spans="11:14" x14ac:dyDescent="0.25">
      <c r="K17" t="s">
        <v>569</v>
      </c>
      <c r="L17">
        <v>38000</v>
      </c>
      <c r="M17" t="s">
        <v>485</v>
      </c>
    </row>
    <row r="18" spans="11:14" x14ac:dyDescent="0.25">
      <c r="K18" t="s">
        <v>570</v>
      </c>
      <c r="L18">
        <f>L15-L16-L17</f>
        <v>4000</v>
      </c>
    </row>
    <row r="19" spans="11:14" ht="14.95" thickBot="1" x14ac:dyDescent="0.3">
      <c r="L19" s="17">
        <f>SUM(L16:L18)</f>
        <v>50000</v>
      </c>
    </row>
    <row r="20" spans="11:14" ht="14.95" thickTop="1" x14ac:dyDescent="0.25"/>
    <row r="21" spans="11:14" x14ac:dyDescent="0.25">
      <c r="K21" s="1" t="s">
        <v>571</v>
      </c>
      <c r="L21" s="400">
        <v>1500000</v>
      </c>
      <c r="M21" t="s">
        <v>572</v>
      </c>
    </row>
    <row r="22" spans="11:14" x14ac:dyDescent="0.25">
      <c r="K22" t="s">
        <v>568</v>
      </c>
      <c r="L22" s="400">
        <v>380000</v>
      </c>
      <c r="M22" t="s">
        <v>572</v>
      </c>
    </row>
    <row r="23" spans="11:14" x14ac:dyDescent="0.25">
      <c r="K23" t="s">
        <v>573</v>
      </c>
      <c r="L23" s="400">
        <v>720000</v>
      </c>
      <c r="M23" t="s">
        <v>572</v>
      </c>
    </row>
    <row r="26" spans="11:14" x14ac:dyDescent="0.25">
      <c r="K26" s="1" t="s">
        <v>574</v>
      </c>
      <c r="L26" s="400">
        <v>60</v>
      </c>
    </row>
    <row r="27" spans="11:14" x14ac:dyDescent="0.25">
      <c r="K27" t="s">
        <v>575</v>
      </c>
      <c r="L27" s="400">
        <v>11</v>
      </c>
      <c r="M27" s="69">
        <v>60000</v>
      </c>
      <c r="N27" t="s">
        <v>576</v>
      </c>
    </row>
    <row r="28" spans="11:14" x14ac:dyDescent="0.25">
      <c r="K28" t="s">
        <v>555</v>
      </c>
      <c r="L28" s="400">
        <v>38</v>
      </c>
      <c r="M28" s="69">
        <v>50000</v>
      </c>
      <c r="N28" t="s">
        <v>576</v>
      </c>
    </row>
    <row r="29" spans="11:14" x14ac:dyDescent="0.25">
      <c r="L29" s="121"/>
    </row>
    <row r="33" spans="1:12" x14ac:dyDescent="0.25">
      <c r="A33" s="401" t="s">
        <v>577</v>
      </c>
      <c r="B33" s="402" t="s">
        <v>578</v>
      </c>
      <c r="C33" s="403"/>
      <c r="D33" s="403"/>
      <c r="E33" s="403"/>
      <c r="F33" s="403"/>
      <c r="G33" s="403"/>
    </row>
    <row r="34" spans="1:12" x14ac:dyDescent="0.25">
      <c r="A34" s="404" t="s">
        <v>579</v>
      </c>
      <c r="B34" s="360"/>
      <c r="C34" s="360"/>
      <c r="D34" s="360"/>
      <c r="E34" s="360"/>
      <c r="F34" s="360"/>
      <c r="G34" s="360"/>
    </row>
    <row r="35" spans="1:12" x14ac:dyDescent="0.25">
      <c r="A35" s="405" t="s">
        <v>580</v>
      </c>
      <c r="B35" s="405"/>
      <c r="C35" s="405"/>
      <c r="D35" s="405"/>
      <c r="E35" s="405"/>
      <c r="F35" s="405"/>
      <c r="G35" s="405"/>
      <c r="H35" s="405"/>
    </row>
    <row r="36" spans="1:12" x14ac:dyDescent="0.25">
      <c r="A36" s="405" t="s">
        <v>581</v>
      </c>
      <c r="B36" s="405"/>
      <c r="C36" s="405"/>
      <c r="D36" s="405"/>
      <c r="E36" s="405"/>
      <c r="F36" s="405"/>
      <c r="G36" s="405"/>
      <c r="H36" s="405"/>
    </row>
    <row r="37" spans="1:12" ht="14.95" thickBot="1" x14ac:dyDescent="0.3">
      <c r="A37" s="405" t="s">
        <v>582</v>
      </c>
      <c r="B37" s="405"/>
      <c r="C37" s="405"/>
      <c r="D37" s="405"/>
      <c r="E37" s="405"/>
      <c r="F37" s="405"/>
      <c r="G37" s="405"/>
      <c r="H37" s="405"/>
    </row>
    <row r="38" spans="1:12" ht="14.95" thickBot="1" x14ac:dyDescent="0.3">
      <c r="A38" s="405"/>
      <c r="B38" s="405"/>
      <c r="C38" s="405"/>
      <c r="D38" s="405"/>
      <c r="E38" s="405"/>
      <c r="F38" s="405"/>
      <c r="G38" s="405"/>
      <c r="H38" s="405"/>
      <c r="I38" s="765" t="s">
        <v>544</v>
      </c>
      <c r="J38" s="766"/>
      <c r="K38" s="769" t="s">
        <v>545</v>
      </c>
      <c r="L38" s="770"/>
    </row>
    <row r="39" spans="1:12" ht="14.95" thickBot="1" x14ac:dyDescent="0.3">
      <c r="A39" s="405"/>
      <c r="B39" s="405"/>
      <c r="C39" s="779" t="s">
        <v>535</v>
      </c>
      <c r="D39" s="406" t="s">
        <v>583</v>
      </c>
      <c r="E39" s="783" t="s">
        <v>584</v>
      </c>
      <c r="F39" s="779" t="s">
        <v>542</v>
      </c>
      <c r="G39" s="405"/>
      <c r="H39" s="405"/>
      <c r="I39" s="767"/>
      <c r="J39" s="768"/>
      <c r="K39" s="377" t="s">
        <v>546</v>
      </c>
      <c r="L39" s="378" t="s">
        <v>547</v>
      </c>
    </row>
    <row r="40" spans="1:12" ht="14.95" thickBot="1" x14ac:dyDescent="0.3">
      <c r="A40" s="405"/>
      <c r="B40" s="405"/>
      <c r="C40" s="780"/>
      <c r="D40" s="407" t="s">
        <v>585</v>
      </c>
      <c r="E40" s="784"/>
      <c r="F40" s="780"/>
      <c r="G40" s="405"/>
      <c r="H40" s="405"/>
      <c r="I40" s="771" t="s">
        <v>548</v>
      </c>
      <c r="J40" s="379" t="s">
        <v>546</v>
      </c>
      <c r="K40" s="380" t="s">
        <v>549</v>
      </c>
      <c r="L40" s="381" t="s">
        <v>550</v>
      </c>
    </row>
    <row r="41" spans="1:12" ht="14.95" thickBot="1" x14ac:dyDescent="0.3">
      <c r="A41" s="405"/>
      <c r="B41" s="405"/>
      <c r="C41" s="775" t="s">
        <v>586</v>
      </c>
      <c r="D41" s="408" t="s">
        <v>587</v>
      </c>
      <c r="E41" s="409">
        <v>0.92</v>
      </c>
      <c r="F41" s="410">
        <v>0.97</v>
      </c>
      <c r="G41" s="405"/>
      <c r="H41" s="405"/>
      <c r="I41" s="772"/>
      <c r="J41" s="382" t="s">
        <v>547</v>
      </c>
      <c r="K41" s="383" t="s">
        <v>551</v>
      </c>
      <c r="L41" s="384" t="s">
        <v>552</v>
      </c>
    </row>
    <row r="42" spans="1:12" ht="14.95" thickBot="1" x14ac:dyDescent="0.3">
      <c r="A42" s="405"/>
      <c r="B42" s="405"/>
      <c r="C42" s="776"/>
      <c r="D42" s="411"/>
      <c r="E42" s="412"/>
      <c r="F42" s="413"/>
      <c r="G42" s="405"/>
      <c r="H42" s="405"/>
    </row>
    <row r="43" spans="1:12" x14ac:dyDescent="0.25">
      <c r="A43" s="405"/>
      <c r="B43" s="405"/>
      <c r="C43" s="775" t="s">
        <v>588</v>
      </c>
      <c r="D43" s="408" t="s">
        <v>589</v>
      </c>
      <c r="E43" s="409"/>
      <c r="F43" s="410"/>
      <c r="G43" s="1" t="s">
        <v>590</v>
      </c>
      <c r="H43" s="405"/>
    </row>
    <row r="44" spans="1:12" ht="14.95" thickBot="1" x14ac:dyDescent="0.3">
      <c r="A44" s="405"/>
      <c r="B44" s="405"/>
      <c r="C44" s="776"/>
      <c r="D44" s="411"/>
      <c r="E44" s="412"/>
      <c r="F44" s="413"/>
      <c r="G44" s="405"/>
      <c r="H44" s="405"/>
    </row>
    <row r="45" spans="1:12" x14ac:dyDescent="0.25">
      <c r="A45" s="405"/>
      <c r="B45" s="405"/>
      <c r="C45" s="775" t="s">
        <v>591</v>
      </c>
      <c r="D45" s="408" t="s">
        <v>592</v>
      </c>
      <c r="E45" s="409">
        <v>0.05</v>
      </c>
      <c r="F45" s="410">
        <v>0.05</v>
      </c>
      <c r="G45" s="405"/>
      <c r="H45" s="405"/>
    </row>
    <row r="46" spans="1:12" ht="14.95" thickBot="1" x14ac:dyDescent="0.3">
      <c r="A46" s="405"/>
      <c r="B46" s="405"/>
      <c r="C46" s="776"/>
      <c r="D46" s="411" t="s">
        <v>593</v>
      </c>
      <c r="E46" s="412">
        <v>0.02</v>
      </c>
      <c r="F46" s="413">
        <v>0.02</v>
      </c>
      <c r="G46" s="405"/>
      <c r="H46" s="405"/>
    </row>
    <row r="47" spans="1:12" ht="14.95" thickBot="1" x14ac:dyDescent="0.3">
      <c r="A47" s="405"/>
      <c r="B47" s="405"/>
      <c r="C47" s="414" t="s">
        <v>594</v>
      </c>
      <c r="D47" s="408" t="s">
        <v>595</v>
      </c>
      <c r="E47" s="406">
        <v>88</v>
      </c>
      <c r="F47" s="415">
        <v>95</v>
      </c>
      <c r="G47" s="405"/>
      <c r="H47" s="405"/>
    </row>
    <row r="48" spans="1:12" ht="14.95" thickBot="1" x14ac:dyDescent="0.3">
      <c r="A48" s="405"/>
      <c r="B48" s="405"/>
      <c r="C48" s="408" t="s">
        <v>596</v>
      </c>
      <c r="D48" s="408" t="s">
        <v>597</v>
      </c>
      <c r="E48" s="409">
        <v>0.12</v>
      </c>
      <c r="F48" s="410">
        <v>0.12</v>
      </c>
      <c r="G48" s="405"/>
      <c r="H48" s="405"/>
    </row>
    <row r="49" spans="1:8" ht="14.95" thickBot="1" x14ac:dyDescent="0.3">
      <c r="A49" s="405"/>
      <c r="B49" s="405"/>
      <c r="C49" s="416" t="s">
        <v>598</v>
      </c>
      <c r="D49" s="417"/>
      <c r="E49" s="417"/>
      <c r="F49" s="418"/>
      <c r="G49" s="405"/>
      <c r="H49" s="405"/>
    </row>
    <row r="50" spans="1:8" ht="14.95" thickBot="1" x14ac:dyDescent="0.3">
      <c r="A50" s="405"/>
      <c r="B50" s="405"/>
      <c r="C50" s="405"/>
      <c r="D50" s="405"/>
      <c r="E50" s="405"/>
      <c r="F50" s="405"/>
      <c r="G50" s="405"/>
      <c r="H50" s="405"/>
    </row>
    <row r="51" spans="1:8" x14ac:dyDescent="0.25">
      <c r="A51" s="405"/>
      <c r="B51" s="405"/>
      <c r="C51" s="779" t="s">
        <v>535</v>
      </c>
      <c r="D51" s="406" t="s">
        <v>525</v>
      </c>
      <c r="E51" s="783" t="s">
        <v>599</v>
      </c>
      <c r="F51" s="779" t="s">
        <v>542</v>
      </c>
      <c r="G51" s="781" t="s">
        <v>600</v>
      </c>
      <c r="H51" s="405"/>
    </row>
    <row r="52" spans="1:8" ht="14.95" thickBot="1" x14ac:dyDescent="0.3">
      <c r="A52" s="405"/>
      <c r="B52" s="405"/>
      <c r="C52" s="780"/>
      <c r="D52" s="407" t="s">
        <v>601</v>
      </c>
      <c r="E52" s="784"/>
      <c r="F52" s="780"/>
      <c r="G52" s="782"/>
      <c r="H52" s="405"/>
    </row>
    <row r="53" spans="1:8" x14ac:dyDescent="0.25">
      <c r="A53" s="405"/>
      <c r="B53" s="405"/>
      <c r="C53" s="775" t="s">
        <v>586</v>
      </c>
      <c r="D53" s="408" t="s">
        <v>602</v>
      </c>
      <c r="E53" s="419">
        <v>100</v>
      </c>
      <c r="F53" s="419">
        <v>80</v>
      </c>
      <c r="G53" s="420" t="str">
        <f>K41</f>
        <v>Improve</v>
      </c>
      <c r="H53" s="405"/>
    </row>
    <row r="54" spans="1:8" ht="14.95" thickBot="1" x14ac:dyDescent="0.3">
      <c r="A54" s="405"/>
      <c r="B54" s="405"/>
      <c r="C54" s="776"/>
      <c r="D54" s="411"/>
      <c r="E54" s="411"/>
      <c r="F54" s="411"/>
      <c r="G54" s="421"/>
      <c r="H54" s="405"/>
    </row>
    <row r="55" spans="1:8" x14ac:dyDescent="0.25">
      <c r="A55" s="405"/>
      <c r="B55" s="405"/>
      <c r="C55" s="775" t="s">
        <v>588</v>
      </c>
      <c r="D55" s="408" t="s">
        <v>603</v>
      </c>
      <c r="E55" s="419">
        <v>54</v>
      </c>
      <c r="F55" s="406" t="s">
        <v>589</v>
      </c>
      <c r="G55" s="420" t="str">
        <f>L41</f>
        <v>Drop</v>
      </c>
      <c r="H55" s="405"/>
    </row>
    <row r="56" spans="1:8" ht="14.95" thickBot="1" x14ac:dyDescent="0.3">
      <c r="A56" s="405"/>
      <c r="B56" s="405"/>
      <c r="C56" s="776"/>
      <c r="D56" s="411"/>
      <c r="E56" s="411"/>
      <c r="F56" s="411"/>
      <c r="G56" s="421"/>
      <c r="H56" s="405"/>
    </row>
    <row r="57" spans="1:8" ht="21.6" customHeight="1" x14ac:dyDescent="0.25">
      <c r="A57" s="405"/>
      <c r="B57" s="405"/>
      <c r="C57" s="775" t="s">
        <v>591</v>
      </c>
      <c r="D57" s="408" t="s">
        <v>604</v>
      </c>
      <c r="E57" s="422">
        <v>0.11700000000000001</v>
      </c>
      <c r="F57" s="422">
        <v>0.11600000000000001</v>
      </c>
      <c r="G57" s="420" t="str">
        <f>K40</f>
        <v>Keep/Continue</v>
      </c>
      <c r="H57" s="405"/>
    </row>
    <row r="58" spans="1:8" ht="14.95" thickBot="1" x14ac:dyDescent="0.3">
      <c r="A58" s="405"/>
      <c r="B58" s="405"/>
      <c r="C58" s="776"/>
      <c r="D58" s="411"/>
      <c r="E58" s="411"/>
      <c r="F58" s="411"/>
      <c r="G58" s="421"/>
      <c r="H58" s="405"/>
    </row>
    <row r="59" spans="1:8" ht="14.95" thickBot="1" x14ac:dyDescent="0.3">
      <c r="A59" s="405"/>
      <c r="B59" s="405"/>
      <c r="C59" s="408" t="s">
        <v>594</v>
      </c>
      <c r="D59" s="408" t="s">
        <v>605</v>
      </c>
      <c r="E59" s="419">
        <v>19</v>
      </c>
      <c r="F59" s="419">
        <v>15</v>
      </c>
      <c r="G59" s="420" t="str">
        <f>K41</f>
        <v>Improve</v>
      </c>
      <c r="H59" s="405"/>
    </row>
    <row r="60" spans="1:8" ht="14.95" thickBot="1" x14ac:dyDescent="0.3">
      <c r="A60" s="405"/>
      <c r="B60" s="405"/>
      <c r="C60" s="408" t="s">
        <v>596</v>
      </c>
      <c r="D60" s="408" t="s">
        <v>606</v>
      </c>
      <c r="E60" s="419">
        <v>22710</v>
      </c>
      <c r="F60" s="419">
        <v>23500</v>
      </c>
      <c r="G60" s="420" t="str">
        <f>K40</f>
        <v>Keep/Continue</v>
      </c>
      <c r="H60" s="405"/>
    </row>
    <row r="61" spans="1:8" ht="14.95" thickBot="1" x14ac:dyDescent="0.3">
      <c r="A61" s="405"/>
      <c r="B61" s="405"/>
      <c r="C61" s="416" t="s">
        <v>598</v>
      </c>
      <c r="D61" s="417"/>
      <c r="E61" s="417"/>
      <c r="F61" s="417"/>
      <c r="G61" s="418"/>
      <c r="H61" s="405"/>
    </row>
    <row r="62" spans="1:8" x14ac:dyDescent="0.25">
      <c r="A62" s="405"/>
      <c r="B62" s="405"/>
      <c r="C62" s="405"/>
      <c r="D62" s="405"/>
      <c r="E62" s="405"/>
      <c r="F62" s="405"/>
      <c r="G62" s="405"/>
      <c r="H62" s="405"/>
    </row>
  </sheetData>
  <mergeCells count="21">
    <mergeCell ref="C55:C56"/>
    <mergeCell ref="C57:C58"/>
    <mergeCell ref="C45:C46"/>
    <mergeCell ref="C51:C52"/>
    <mergeCell ref="E51:E52"/>
    <mergeCell ref="F51:F52"/>
    <mergeCell ref="G51:G52"/>
    <mergeCell ref="C53:C54"/>
    <mergeCell ref="C39:C40"/>
    <mergeCell ref="E39:E40"/>
    <mergeCell ref="F39:F40"/>
    <mergeCell ref="I40:I41"/>
    <mergeCell ref="C41:C42"/>
    <mergeCell ref="C43:C44"/>
    <mergeCell ref="N2:O2"/>
    <mergeCell ref="P2:Q2"/>
    <mergeCell ref="R2:S2"/>
    <mergeCell ref="T2:U2"/>
    <mergeCell ref="V2:W2"/>
    <mergeCell ref="I38:J39"/>
    <mergeCell ref="K38:L38"/>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CCFF"/>
  </sheetPr>
  <dimension ref="D1:T39"/>
  <sheetViews>
    <sheetView workbookViewId="0">
      <selection activeCell="Q36" sqref="Q36"/>
    </sheetView>
  </sheetViews>
  <sheetFormatPr defaultRowHeight="14.3" x14ac:dyDescent="0.25"/>
  <cols>
    <col min="4" max="4" width="31.625" customWidth="1"/>
    <col min="5" max="5" width="13.875" customWidth="1"/>
    <col min="11" max="11" width="11.25" customWidth="1"/>
  </cols>
  <sheetData>
    <row r="1" spans="4:20" ht="14.95" thickBot="1" x14ac:dyDescent="0.3"/>
    <row r="2" spans="4:20" ht="14.95" thickBot="1" x14ac:dyDescent="0.3">
      <c r="D2" s="785" t="s">
        <v>607</v>
      </c>
      <c r="E2" s="786"/>
      <c r="F2" s="786"/>
      <c r="G2" s="786"/>
      <c r="H2" s="786"/>
      <c r="I2" s="786"/>
      <c r="J2" s="786"/>
      <c r="K2" s="787"/>
    </row>
    <row r="3" spans="4:20" ht="23.1" thickBot="1" x14ac:dyDescent="0.3">
      <c r="D3" s="423"/>
      <c r="E3" s="424" t="s">
        <v>608</v>
      </c>
      <c r="F3" s="425" t="s">
        <v>609</v>
      </c>
      <c r="G3" s="426" t="s">
        <v>610</v>
      </c>
      <c r="H3" s="425" t="s">
        <v>611</v>
      </c>
      <c r="I3" s="425" t="s">
        <v>612</v>
      </c>
      <c r="J3" s="425" t="s">
        <v>613</v>
      </c>
      <c r="K3" s="427" t="s">
        <v>614</v>
      </c>
      <c r="M3" s="428"/>
      <c r="N3" s="428"/>
      <c r="O3" s="429"/>
      <c r="P3" s="430"/>
      <c r="Q3" s="429"/>
      <c r="R3" s="429"/>
    </row>
    <row r="4" spans="4:20" x14ac:dyDescent="0.25">
      <c r="D4" s="431" t="s">
        <v>615</v>
      </c>
      <c r="E4" s="432">
        <v>500000</v>
      </c>
      <c r="F4" s="433">
        <v>10</v>
      </c>
      <c r="G4" s="3"/>
      <c r="H4" s="3"/>
      <c r="I4" s="434"/>
      <c r="J4" s="435"/>
      <c r="K4" s="436"/>
      <c r="M4" s="437"/>
      <c r="N4" s="438" t="s">
        <v>616</v>
      </c>
      <c r="O4" s="438">
        <v>10</v>
      </c>
      <c r="P4" s="439"/>
      <c r="Q4" s="439"/>
      <c r="R4" s="440"/>
    </row>
    <row r="5" spans="4:20" x14ac:dyDescent="0.25">
      <c r="D5" s="441" t="s">
        <v>617</v>
      </c>
      <c r="E5" s="442"/>
      <c r="F5" s="443">
        <v>1</v>
      </c>
      <c r="G5" s="444">
        <v>85000</v>
      </c>
      <c r="H5" s="445">
        <f>F5/F4*E11</f>
        <v>600</v>
      </c>
      <c r="I5" s="445">
        <f>F5/F4*E10</f>
        <v>6370</v>
      </c>
      <c r="J5" s="446">
        <f>1/25*E8</f>
        <v>4256</v>
      </c>
      <c r="K5" s="447">
        <f>SUM(G5:J5)</f>
        <v>96226</v>
      </c>
      <c r="L5" s="6"/>
      <c r="M5" s="448"/>
      <c r="N5" s="438" t="s">
        <v>618</v>
      </c>
      <c r="O5" s="438">
        <v>15</v>
      </c>
      <c r="P5" s="439"/>
      <c r="Q5" s="439"/>
      <c r="R5" s="440"/>
    </row>
    <row r="6" spans="4:20" x14ac:dyDescent="0.25">
      <c r="D6" s="441" t="s">
        <v>619</v>
      </c>
      <c r="E6" s="442"/>
      <c r="F6" s="443">
        <v>6</v>
      </c>
      <c r="G6" s="444">
        <f>F6*57000</f>
        <v>342000</v>
      </c>
      <c r="H6" s="445">
        <f>F6/F4*E11</f>
        <v>3600</v>
      </c>
      <c r="I6" s="445">
        <f>F6/F4*E10</f>
        <v>38220</v>
      </c>
      <c r="J6" s="446">
        <f>F6/O6*E8</f>
        <v>25536</v>
      </c>
      <c r="K6" s="447">
        <f t="shared" ref="K6:K7" si="0">SUM(G6:J6)</f>
        <v>409356</v>
      </c>
      <c r="L6" s="6"/>
      <c r="M6" s="448"/>
      <c r="N6" s="438" t="s">
        <v>620</v>
      </c>
      <c r="O6" s="438">
        <f>SUM(O4:O5)</f>
        <v>25</v>
      </c>
      <c r="P6" s="439"/>
      <c r="Q6" s="439"/>
      <c r="R6" s="440"/>
    </row>
    <row r="7" spans="4:20" x14ac:dyDescent="0.25">
      <c r="D7" s="441" t="s">
        <v>621</v>
      </c>
      <c r="E7" s="449"/>
      <c r="F7" s="443">
        <f>F4-F5-F6</f>
        <v>3</v>
      </c>
      <c r="G7" s="450">
        <f>E4-G5-G6</f>
        <v>73000</v>
      </c>
      <c r="H7" s="445">
        <f>F7/F4*E11</f>
        <v>1800</v>
      </c>
      <c r="I7" s="445">
        <f>F7/F4*E10</f>
        <v>19110</v>
      </c>
      <c r="J7" s="446">
        <f>F7/O6*E8</f>
        <v>12768</v>
      </c>
      <c r="K7" s="447">
        <f t="shared" si="0"/>
        <v>106678</v>
      </c>
      <c r="L7" s="6"/>
      <c r="M7" s="451"/>
      <c r="N7" s="7"/>
      <c r="O7" s="451"/>
      <c r="P7" s="451"/>
      <c r="Q7" s="451"/>
      <c r="R7" s="452"/>
    </row>
    <row r="8" spans="4:20" x14ac:dyDescent="0.25">
      <c r="D8" s="453" t="s">
        <v>622</v>
      </c>
      <c r="E8" s="454">
        <v>106400</v>
      </c>
      <c r="F8" s="455"/>
      <c r="G8" s="456"/>
      <c r="H8" s="457"/>
      <c r="I8" s="457"/>
      <c r="J8" s="456">
        <f>-SUM(J5:J7)</f>
        <v>-42560</v>
      </c>
      <c r="K8" s="447">
        <f>SUM(E8:J8)</f>
        <v>63840</v>
      </c>
      <c r="L8" s="458"/>
      <c r="M8" s="458"/>
      <c r="N8" s="458"/>
      <c r="O8" s="458"/>
      <c r="P8" s="451"/>
      <c r="Q8" s="451"/>
      <c r="R8" s="452"/>
    </row>
    <row r="9" spans="4:20" ht="14.95" thickBot="1" x14ac:dyDescent="0.3">
      <c r="D9" s="459" t="s">
        <v>623</v>
      </c>
      <c r="E9" s="460">
        <v>135000</v>
      </c>
      <c r="F9" s="443"/>
      <c r="G9" s="444"/>
      <c r="H9" s="445"/>
      <c r="I9" s="445"/>
      <c r="J9" s="446"/>
      <c r="K9" s="447">
        <f t="shared" ref="K9:K13" si="1">SUM(E9:J9)</f>
        <v>135000</v>
      </c>
      <c r="L9" s="458"/>
      <c r="M9" s="458"/>
      <c r="N9" s="7"/>
      <c r="O9" s="451"/>
      <c r="P9" s="451"/>
      <c r="Q9" s="451"/>
      <c r="R9" s="452"/>
    </row>
    <row r="10" spans="4:20" x14ac:dyDescent="0.25">
      <c r="D10" s="461" t="s">
        <v>624</v>
      </c>
      <c r="E10" s="462">
        <v>63700</v>
      </c>
      <c r="F10" s="463"/>
      <c r="G10" s="464"/>
      <c r="H10" s="465"/>
      <c r="I10" s="464">
        <f>-SUM(I5:I7)</f>
        <v>-63700</v>
      </c>
      <c r="J10" s="466"/>
      <c r="K10" s="467">
        <f t="shared" si="1"/>
        <v>0</v>
      </c>
      <c r="L10" s="7"/>
      <c r="M10" s="451"/>
      <c r="N10" s="2" t="s">
        <v>625</v>
      </c>
      <c r="O10" s="468"/>
      <c r="P10" s="468"/>
      <c r="Q10" s="469"/>
      <c r="R10" s="452"/>
    </row>
    <row r="11" spans="4:20" ht="14.95" thickBot="1" x14ac:dyDescent="0.3">
      <c r="D11" s="461" t="s">
        <v>626</v>
      </c>
      <c r="E11" s="470">
        <v>6000</v>
      </c>
      <c r="F11" s="463"/>
      <c r="G11" s="464"/>
      <c r="H11" s="464">
        <f>-SUM(H5:H7)</f>
        <v>-6000</v>
      </c>
      <c r="I11" s="465"/>
      <c r="J11" s="466"/>
      <c r="K11" s="467">
        <f t="shared" si="1"/>
        <v>0</v>
      </c>
      <c r="L11" s="7"/>
      <c r="M11" s="451"/>
      <c r="N11" s="471">
        <f>E14</f>
        <v>874500</v>
      </c>
      <c r="O11" s="472" t="s">
        <v>627</v>
      </c>
      <c r="P11" s="473">
        <f>N11*15%</f>
        <v>131175</v>
      </c>
      <c r="Q11" s="474"/>
      <c r="R11" s="452"/>
    </row>
    <row r="12" spans="4:20" x14ac:dyDescent="0.25">
      <c r="D12" s="459" t="s">
        <v>628</v>
      </c>
      <c r="E12" s="460">
        <v>40000</v>
      </c>
      <c r="F12" s="443"/>
      <c r="G12" s="444"/>
      <c r="H12" s="445"/>
      <c r="I12" s="445"/>
      <c r="J12" s="446"/>
      <c r="K12" s="447">
        <f t="shared" si="1"/>
        <v>40000</v>
      </c>
      <c r="L12" s="458"/>
      <c r="M12" s="458"/>
      <c r="N12" s="7"/>
      <c r="O12" s="451"/>
      <c r="P12" s="451"/>
      <c r="Q12" s="451"/>
      <c r="R12" s="452"/>
    </row>
    <row r="13" spans="4:20" ht="14.95" thickBot="1" x14ac:dyDescent="0.3">
      <c r="D13" s="475" t="s">
        <v>629</v>
      </c>
      <c r="E13" s="476">
        <v>23400</v>
      </c>
      <c r="F13" s="477"/>
      <c r="G13" s="478"/>
      <c r="H13" s="479"/>
      <c r="I13" s="479"/>
      <c r="J13" s="480"/>
      <c r="K13" s="447">
        <f t="shared" si="1"/>
        <v>23400</v>
      </c>
      <c r="L13" s="458"/>
      <c r="M13" s="458"/>
      <c r="N13" s="7"/>
      <c r="O13" s="451"/>
      <c r="P13" s="451"/>
      <c r="Q13" s="451"/>
      <c r="R13" s="452"/>
    </row>
    <row r="14" spans="4:20" ht="14.95" thickBot="1" x14ac:dyDescent="0.3">
      <c r="D14" s="481" t="s">
        <v>630</v>
      </c>
      <c r="E14" s="482">
        <f>SUM(E4:E13)</f>
        <v>874500</v>
      </c>
      <c r="F14" s="788"/>
      <c r="G14" s="789"/>
      <c r="H14" s="789"/>
      <c r="I14" s="789"/>
      <c r="J14" s="790"/>
      <c r="K14" s="483">
        <f>SUM(K5:K13)</f>
        <v>874500</v>
      </c>
      <c r="M14" s="437"/>
      <c r="O14" s="437"/>
      <c r="P14" s="437"/>
      <c r="Q14" s="437"/>
      <c r="R14" s="437"/>
    </row>
    <row r="15" spans="4:20" ht="14.95" thickBot="1" x14ac:dyDescent="0.3">
      <c r="D15" s="484"/>
      <c r="E15" s="484"/>
      <c r="F15" s="485"/>
      <c r="G15" s="486"/>
      <c r="H15" s="487"/>
      <c r="I15" s="488"/>
      <c r="J15" s="488"/>
      <c r="K15" s="488"/>
    </row>
    <row r="16" spans="4:20" ht="14.95" thickBot="1" x14ac:dyDescent="0.3">
      <c r="D16" s="791" t="s">
        <v>631</v>
      </c>
      <c r="E16" s="792"/>
      <c r="F16" s="792"/>
      <c r="G16" s="792"/>
      <c r="H16" s="792"/>
      <c r="I16" s="792"/>
      <c r="J16" s="792"/>
      <c r="K16" s="792"/>
      <c r="L16" s="792"/>
      <c r="M16" s="792"/>
      <c r="N16" s="792"/>
      <c r="O16" s="792"/>
      <c r="P16" s="792"/>
      <c r="Q16" s="792"/>
      <c r="R16" s="792"/>
      <c r="S16" s="792"/>
      <c r="T16" s="793"/>
    </row>
    <row r="17" spans="4:20" ht="23.1" thickBot="1" x14ac:dyDescent="0.3">
      <c r="D17" s="489" t="s">
        <v>184</v>
      </c>
      <c r="E17" s="490" t="s">
        <v>23</v>
      </c>
      <c r="F17" s="491"/>
      <c r="G17" s="492" t="s">
        <v>632</v>
      </c>
      <c r="H17" s="492" t="s">
        <v>633</v>
      </c>
      <c r="I17" s="492" t="s">
        <v>634</v>
      </c>
      <c r="J17" s="492" t="s">
        <v>635</v>
      </c>
      <c r="K17" s="492" t="s">
        <v>636</v>
      </c>
      <c r="L17" s="492" t="s">
        <v>637</v>
      </c>
      <c r="M17" s="492" t="s">
        <v>638</v>
      </c>
      <c r="N17" s="492" t="s">
        <v>639</v>
      </c>
      <c r="O17" s="492" t="s">
        <v>640</v>
      </c>
      <c r="P17" s="492" t="s">
        <v>641</v>
      </c>
      <c r="Q17" s="492" t="s">
        <v>642</v>
      </c>
      <c r="R17" s="492" t="s">
        <v>643</v>
      </c>
      <c r="S17" s="492" t="s">
        <v>644</v>
      </c>
      <c r="T17" s="493" t="s">
        <v>5</v>
      </c>
    </row>
    <row r="18" spans="4:20" x14ac:dyDescent="0.25">
      <c r="D18" s="494" t="s">
        <v>617</v>
      </c>
      <c r="E18" s="495" t="s">
        <v>645</v>
      </c>
      <c r="F18" s="496"/>
      <c r="G18" s="497"/>
      <c r="H18" s="497"/>
      <c r="I18" s="497"/>
      <c r="J18" s="497"/>
      <c r="K18" s="497"/>
      <c r="L18" s="497"/>
      <c r="M18" s="497"/>
      <c r="N18" s="497">
        <f>0.01</f>
        <v>0.01</v>
      </c>
      <c r="O18" s="498"/>
      <c r="P18" s="498">
        <f>0.14</f>
        <v>0.14000000000000001</v>
      </c>
      <c r="Q18" s="498">
        <f>0.7</f>
        <v>0.7</v>
      </c>
      <c r="R18" s="498"/>
      <c r="S18" s="498">
        <f>0.15</f>
        <v>0.15</v>
      </c>
      <c r="T18" s="499">
        <f>SUM(G18:S18)</f>
        <v>1</v>
      </c>
    </row>
    <row r="19" spans="4:20" x14ac:dyDescent="0.25">
      <c r="D19" s="500" t="s">
        <v>619</v>
      </c>
      <c r="E19" s="501" t="s">
        <v>645</v>
      </c>
      <c r="F19" s="502"/>
      <c r="G19" s="503">
        <f>0.15</f>
        <v>0.15</v>
      </c>
      <c r="H19" s="503">
        <f>0.15</f>
        <v>0.15</v>
      </c>
      <c r="I19" s="503">
        <f>0.1</f>
        <v>0.1</v>
      </c>
      <c r="J19" s="503">
        <f>0.08</f>
        <v>0.08</v>
      </c>
      <c r="K19" s="503">
        <f>0.05</f>
        <v>0.05</v>
      </c>
      <c r="L19" s="503">
        <v>0.1</v>
      </c>
      <c r="M19" s="503"/>
      <c r="N19" s="503">
        <f>0.05</f>
        <v>0.05</v>
      </c>
      <c r="O19" s="504">
        <f>1-(G19+H19+I19+J19+K19+L19+M19+N19+P19+Q19+S19)</f>
        <v>0.16999999999999993</v>
      </c>
      <c r="P19" s="504">
        <v>0.15</v>
      </c>
      <c r="Q19" s="504"/>
      <c r="R19" s="504"/>
      <c r="S19" s="504"/>
      <c r="T19" s="499">
        <f t="shared" ref="T19:T21" si="2">SUM(G19:S19)</f>
        <v>1</v>
      </c>
    </row>
    <row r="20" spans="4:20" x14ac:dyDescent="0.25">
      <c r="D20" s="500" t="s">
        <v>621</v>
      </c>
      <c r="E20" s="501" t="s">
        <v>646</v>
      </c>
      <c r="F20" s="502"/>
      <c r="G20" s="505"/>
      <c r="H20" s="505">
        <f>0.1</f>
        <v>0.1</v>
      </c>
      <c r="I20" s="505"/>
      <c r="J20" s="505"/>
      <c r="K20" s="505">
        <f>0.1</f>
        <v>0.1</v>
      </c>
      <c r="L20" s="505">
        <f>0.1</f>
        <v>0.1</v>
      </c>
      <c r="M20" s="505"/>
      <c r="N20" s="505"/>
      <c r="O20" s="506">
        <f>0.25</f>
        <v>0.25</v>
      </c>
      <c r="P20" s="506">
        <v>0.15</v>
      </c>
      <c r="Q20" s="506"/>
      <c r="R20" s="506">
        <f>0.3</f>
        <v>0.3</v>
      </c>
      <c r="S20" s="506"/>
      <c r="T20" s="499">
        <f t="shared" si="2"/>
        <v>1</v>
      </c>
    </row>
    <row r="21" spans="4:20" ht="14.95" thickBot="1" x14ac:dyDescent="0.3">
      <c r="D21" s="507" t="s">
        <v>623</v>
      </c>
      <c r="E21" s="508" t="s">
        <v>647</v>
      </c>
      <c r="F21" s="509"/>
      <c r="G21" s="510">
        <f>0.55</f>
        <v>0.55000000000000004</v>
      </c>
      <c r="H21" s="510"/>
      <c r="I21" s="510"/>
      <c r="J21" s="510"/>
      <c r="K21" s="510">
        <v>0.25</v>
      </c>
      <c r="L21" s="510"/>
      <c r="M21" s="510"/>
      <c r="N21" s="510"/>
      <c r="O21" s="511">
        <v>0.1</v>
      </c>
      <c r="P21" s="511"/>
      <c r="Q21" s="511">
        <f>0.1</f>
        <v>0.1</v>
      </c>
      <c r="R21" s="511"/>
      <c r="S21" s="511"/>
      <c r="T21" s="499">
        <f t="shared" si="2"/>
        <v>1</v>
      </c>
    </row>
    <row r="22" spans="4:20" ht="14.95" thickBot="1" x14ac:dyDescent="0.3">
      <c r="D22" s="448"/>
      <c r="E22" s="448"/>
      <c r="F22" s="7"/>
      <c r="G22" s="512"/>
      <c r="H22" s="512"/>
      <c r="I22" s="512"/>
      <c r="J22" s="512"/>
      <c r="K22" s="512"/>
      <c r="L22" s="512"/>
      <c r="M22" s="512"/>
      <c r="N22" s="512"/>
      <c r="O22" s="513"/>
      <c r="P22" s="513"/>
      <c r="Q22" s="513"/>
      <c r="R22" s="513"/>
      <c r="S22" s="513"/>
      <c r="T22" s="513"/>
    </row>
    <row r="23" spans="4:20" ht="14.95" thickBot="1" x14ac:dyDescent="0.3">
      <c r="D23" s="794" t="s">
        <v>648</v>
      </c>
      <c r="E23" s="795"/>
      <c r="F23" s="795"/>
      <c r="G23" s="795"/>
      <c r="H23" s="795"/>
      <c r="I23" s="795"/>
      <c r="J23" s="795"/>
      <c r="K23" s="795"/>
      <c r="L23" s="795"/>
      <c r="M23" s="795"/>
      <c r="N23" s="795"/>
      <c r="O23" s="795"/>
      <c r="P23" s="795"/>
      <c r="Q23" s="795"/>
      <c r="R23" s="795"/>
      <c r="S23" s="795"/>
      <c r="T23" s="796"/>
    </row>
    <row r="24" spans="4:20" ht="14.95" thickBot="1" x14ac:dyDescent="0.3">
      <c r="D24" s="514" t="s">
        <v>184</v>
      </c>
      <c r="E24" s="515" t="s">
        <v>23</v>
      </c>
      <c r="F24" s="492" t="s">
        <v>608</v>
      </c>
      <c r="G24" s="492" t="s">
        <v>632</v>
      </c>
      <c r="H24" s="492" t="s">
        <v>633</v>
      </c>
      <c r="I24" s="492" t="s">
        <v>634</v>
      </c>
      <c r="J24" s="492" t="s">
        <v>635</v>
      </c>
      <c r="K24" s="492" t="s">
        <v>636</v>
      </c>
      <c r="L24" s="492" t="s">
        <v>637</v>
      </c>
      <c r="M24" s="492" t="s">
        <v>638</v>
      </c>
      <c r="N24" s="492" t="s">
        <v>639</v>
      </c>
      <c r="O24" s="492" t="s">
        <v>640</v>
      </c>
      <c r="P24" s="492" t="s">
        <v>641</v>
      </c>
      <c r="Q24" s="516" t="s">
        <v>642</v>
      </c>
      <c r="R24" s="516" t="s">
        <v>643</v>
      </c>
      <c r="S24" s="516" t="s">
        <v>644</v>
      </c>
      <c r="T24" s="493" t="s">
        <v>5</v>
      </c>
    </row>
    <row r="25" spans="4:20" x14ac:dyDescent="0.25">
      <c r="D25" s="517" t="s">
        <v>617</v>
      </c>
      <c r="E25" s="518" t="s">
        <v>645</v>
      </c>
      <c r="F25" s="519">
        <f>K5</f>
        <v>96226</v>
      </c>
      <c r="G25" s="520"/>
      <c r="H25" s="520"/>
      <c r="I25" s="521"/>
      <c r="J25" s="521"/>
      <c r="K25" s="521"/>
      <c r="L25" s="521"/>
      <c r="M25" s="521"/>
      <c r="N25" s="520">
        <f>F25*N18</f>
        <v>962.26</v>
      </c>
      <c r="O25" s="521"/>
      <c r="P25" s="520">
        <f>P18*F25</f>
        <v>13471.640000000001</v>
      </c>
      <c r="Q25" s="522">
        <f>Q18*F25</f>
        <v>67358.2</v>
      </c>
      <c r="R25" s="523"/>
      <c r="S25" s="522">
        <f>S18*F25</f>
        <v>14433.9</v>
      </c>
      <c r="T25" s="524">
        <f>SUM(G25:S25)</f>
        <v>96226</v>
      </c>
    </row>
    <row r="26" spans="4:20" x14ac:dyDescent="0.25">
      <c r="D26" s="525" t="s">
        <v>619</v>
      </c>
      <c r="E26" s="502" t="s">
        <v>645</v>
      </c>
      <c r="F26" s="526">
        <f>K6</f>
        <v>409356</v>
      </c>
      <c r="G26" s="527">
        <f>G19*F26</f>
        <v>61403.399999999994</v>
      </c>
      <c r="H26" s="527">
        <f>H19*F26</f>
        <v>61403.399999999994</v>
      </c>
      <c r="I26" s="527">
        <f>F26*I19</f>
        <v>40935.600000000006</v>
      </c>
      <c r="J26" s="527">
        <f>J19*F26</f>
        <v>32748.48</v>
      </c>
      <c r="K26" s="527">
        <f>K19*F26</f>
        <v>20467.800000000003</v>
      </c>
      <c r="L26" s="527">
        <f>L19*F26</f>
        <v>40935.600000000006</v>
      </c>
      <c r="M26" s="527"/>
      <c r="N26" s="527">
        <f>N19*F26</f>
        <v>20467.800000000003</v>
      </c>
      <c r="O26" s="527">
        <f>O19*F26</f>
        <v>69590.519999999975</v>
      </c>
      <c r="P26" s="527">
        <f>P19*F26</f>
        <v>61403.399999999994</v>
      </c>
      <c r="Q26" s="528"/>
      <c r="R26" s="528"/>
      <c r="S26" s="528"/>
      <c r="T26" s="524">
        <f t="shared" ref="T26:T32" si="3">SUM(G26:S26)</f>
        <v>409356</v>
      </c>
    </row>
    <row r="27" spans="4:20" x14ac:dyDescent="0.25">
      <c r="D27" s="525" t="s">
        <v>621</v>
      </c>
      <c r="E27" s="502" t="s">
        <v>645</v>
      </c>
      <c r="F27" s="529">
        <f>K7</f>
        <v>106678</v>
      </c>
      <c r="G27" s="527"/>
      <c r="H27" s="527">
        <f>F27*H20</f>
        <v>10667.800000000001</v>
      </c>
      <c r="I27" s="527"/>
      <c r="J27" s="527"/>
      <c r="K27" s="527">
        <f>K20*F27</f>
        <v>10667.800000000001</v>
      </c>
      <c r="L27" s="527">
        <f>L20*F27</f>
        <v>10667.800000000001</v>
      </c>
      <c r="M27" s="527"/>
      <c r="N27" s="527"/>
      <c r="O27" s="527">
        <f>O20*F27</f>
        <v>26669.5</v>
      </c>
      <c r="P27" s="527">
        <f>P20*F27</f>
        <v>16001.699999999999</v>
      </c>
      <c r="Q27" s="528"/>
      <c r="R27" s="528">
        <f>R20*F27</f>
        <v>32003.399999999998</v>
      </c>
      <c r="S27" s="528"/>
      <c r="T27" s="524">
        <f t="shared" si="3"/>
        <v>106678</v>
      </c>
    </row>
    <row r="28" spans="4:20" x14ac:dyDescent="0.25">
      <c r="D28" s="525" t="s">
        <v>613</v>
      </c>
      <c r="E28" s="502" t="s">
        <v>649</v>
      </c>
      <c r="F28" s="527">
        <f>K8</f>
        <v>63840</v>
      </c>
      <c r="G28" s="530"/>
      <c r="H28" s="530"/>
      <c r="I28" s="530"/>
      <c r="J28" s="530"/>
      <c r="K28" s="530"/>
      <c r="L28" s="530"/>
      <c r="M28" s="530"/>
      <c r="N28" s="530"/>
      <c r="O28" s="530"/>
      <c r="P28" s="530"/>
      <c r="Q28" s="531"/>
      <c r="R28" s="532">
        <f>F28</f>
        <v>63840</v>
      </c>
      <c r="S28" s="531"/>
      <c r="T28" s="524">
        <f t="shared" si="3"/>
        <v>63840</v>
      </c>
    </row>
    <row r="29" spans="4:20" x14ac:dyDescent="0.25">
      <c r="D29" s="525" t="s">
        <v>623</v>
      </c>
      <c r="E29" s="502" t="s">
        <v>647</v>
      </c>
      <c r="F29" s="527">
        <f>K9</f>
        <v>135000</v>
      </c>
      <c r="G29" s="527">
        <f>G21*F29</f>
        <v>74250</v>
      </c>
      <c r="H29" s="527"/>
      <c r="I29" s="527"/>
      <c r="J29" s="527"/>
      <c r="K29" s="527">
        <f>K21*F29</f>
        <v>33750</v>
      </c>
      <c r="L29" s="527"/>
      <c r="M29" s="527"/>
      <c r="N29" s="527"/>
      <c r="O29" s="527">
        <f>O21*F29</f>
        <v>13500</v>
      </c>
      <c r="P29" s="527"/>
      <c r="Q29" s="532">
        <f>Q21*F29</f>
        <v>13500</v>
      </c>
      <c r="R29" s="532"/>
      <c r="S29" s="532"/>
      <c r="T29" s="524">
        <f t="shared" si="3"/>
        <v>135000</v>
      </c>
    </row>
    <row r="30" spans="4:20" x14ac:dyDescent="0.25">
      <c r="D30" s="525" t="s">
        <v>628</v>
      </c>
      <c r="E30" s="502" t="s">
        <v>650</v>
      </c>
      <c r="F30" s="527">
        <f>K12</f>
        <v>40000</v>
      </c>
      <c r="G30" s="527"/>
      <c r="H30" s="527"/>
      <c r="I30" s="527"/>
      <c r="J30" s="527"/>
      <c r="K30" s="527"/>
      <c r="L30" s="527"/>
      <c r="M30" s="527"/>
      <c r="N30" s="527"/>
      <c r="O30" s="527"/>
      <c r="P30" s="527"/>
      <c r="Q30" s="532">
        <f>F30</f>
        <v>40000</v>
      </c>
      <c r="R30" s="532"/>
      <c r="S30" s="532"/>
      <c r="T30" s="524">
        <f t="shared" si="3"/>
        <v>40000</v>
      </c>
    </row>
    <row r="31" spans="4:20" ht="14.95" thickBot="1" x14ac:dyDescent="0.3">
      <c r="D31" s="533" t="s">
        <v>629</v>
      </c>
      <c r="E31" s="534" t="s">
        <v>651</v>
      </c>
      <c r="F31" s="535">
        <f>K13</f>
        <v>23400</v>
      </c>
      <c r="G31" s="535"/>
      <c r="H31" s="535"/>
      <c r="I31" s="535"/>
      <c r="J31" s="535"/>
      <c r="K31" s="535"/>
      <c r="L31" s="535"/>
      <c r="M31" s="535"/>
      <c r="N31" s="535"/>
      <c r="O31" s="535"/>
      <c r="P31" s="535"/>
      <c r="Q31" s="536"/>
      <c r="R31" s="536"/>
      <c r="S31" s="536">
        <f>F31</f>
        <v>23400</v>
      </c>
      <c r="T31" s="524">
        <f t="shared" si="3"/>
        <v>23400</v>
      </c>
    </row>
    <row r="32" spans="4:20" ht="14.95" thickBot="1" x14ac:dyDescent="0.3">
      <c r="D32" s="514" t="s">
        <v>5</v>
      </c>
      <c r="E32" s="515"/>
      <c r="F32" s="537">
        <f>SUM(F25:F31)</f>
        <v>874500</v>
      </c>
      <c r="G32" s="538">
        <f t="shared" ref="G32:S32" si="4">SUM(G25:G31)</f>
        <v>135653.4</v>
      </c>
      <c r="H32" s="538">
        <f t="shared" si="4"/>
        <v>72071.199999999997</v>
      </c>
      <c r="I32" s="538">
        <f t="shared" si="4"/>
        <v>40935.600000000006</v>
      </c>
      <c r="J32" s="538">
        <f t="shared" si="4"/>
        <v>32748.48</v>
      </c>
      <c r="K32" s="538">
        <f t="shared" si="4"/>
        <v>64885.600000000006</v>
      </c>
      <c r="L32" s="538">
        <f t="shared" si="4"/>
        <v>51603.400000000009</v>
      </c>
      <c r="M32" s="538">
        <f t="shared" si="4"/>
        <v>0</v>
      </c>
      <c r="N32" s="538">
        <f t="shared" si="4"/>
        <v>21430.06</v>
      </c>
      <c r="O32" s="538">
        <f t="shared" si="4"/>
        <v>109760.01999999997</v>
      </c>
      <c r="P32" s="538">
        <f t="shared" si="4"/>
        <v>90876.739999999991</v>
      </c>
      <c r="Q32" s="538">
        <f t="shared" si="4"/>
        <v>120858.2</v>
      </c>
      <c r="R32" s="538">
        <f t="shared" si="4"/>
        <v>95843.4</v>
      </c>
      <c r="S32" s="538">
        <f t="shared" si="4"/>
        <v>37833.9</v>
      </c>
      <c r="T32" s="539">
        <f t="shared" si="3"/>
        <v>874500</v>
      </c>
    </row>
    <row r="33" spans="4:20" ht="14.95" thickBot="1" x14ac:dyDescent="0.3">
      <c r="D33" s="540"/>
      <c r="E33" s="540"/>
      <c r="F33" s="541"/>
      <c r="G33" s="542"/>
      <c r="H33" s="542"/>
      <c r="I33" s="542"/>
      <c r="J33" s="542"/>
      <c r="K33" s="542"/>
      <c r="L33" s="542"/>
      <c r="M33" s="542"/>
      <c r="N33" s="542"/>
      <c r="O33" s="542"/>
      <c r="P33" s="542"/>
      <c r="Q33" s="542"/>
      <c r="R33" s="542"/>
      <c r="S33" s="542"/>
      <c r="T33" s="542"/>
    </row>
    <row r="34" spans="4:20" ht="24.45" customHeight="1" x14ac:dyDescent="0.25">
      <c r="D34" s="543" t="s">
        <v>652</v>
      </c>
      <c r="E34" s="797" t="s">
        <v>653</v>
      </c>
      <c r="F34" s="798"/>
      <c r="G34" s="542"/>
      <c r="H34" s="542"/>
      <c r="I34" s="542"/>
      <c r="J34" s="542"/>
      <c r="K34" s="542"/>
      <c r="L34" s="542"/>
      <c r="M34" s="542"/>
      <c r="N34" s="542"/>
      <c r="O34" s="542"/>
      <c r="P34" s="542"/>
      <c r="Q34" s="542"/>
      <c r="R34" s="542"/>
      <c r="S34" s="542"/>
      <c r="T34" s="542"/>
    </row>
    <row r="35" spans="4:20" x14ac:dyDescent="0.25">
      <c r="D35" s="5" t="s">
        <v>654</v>
      </c>
      <c r="E35" s="544">
        <f>Q29+Q30</f>
        <v>53500</v>
      </c>
      <c r="F35" s="545"/>
      <c r="G35" s="542"/>
      <c r="H35" s="542"/>
      <c r="I35" s="542"/>
      <c r="J35" s="542"/>
      <c r="K35" s="542"/>
      <c r="L35" s="542"/>
      <c r="M35" s="542"/>
      <c r="N35" s="542"/>
      <c r="O35" s="542"/>
      <c r="P35" s="542"/>
      <c r="Q35" s="542"/>
      <c r="R35" s="542"/>
      <c r="S35" s="542"/>
      <c r="T35" s="542"/>
    </row>
    <row r="36" spans="4:20" x14ac:dyDescent="0.25">
      <c r="D36" s="5" t="s">
        <v>655</v>
      </c>
      <c r="E36" s="544">
        <f>R28</f>
        <v>63840</v>
      </c>
      <c r="F36" s="8"/>
      <c r="G36" s="542"/>
      <c r="H36" s="542"/>
      <c r="I36" s="542"/>
      <c r="J36" s="542"/>
      <c r="K36" s="542"/>
      <c r="L36" s="542"/>
      <c r="M36" s="542"/>
      <c r="N36" s="542"/>
      <c r="O36" s="542"/>
      <c r="P36" s="542"/>
      <c r="Q36" s="542"/>
      <c r="R36" s="542"/>
      <c r="S36" s="542"/>
      <c r="T36" s="542"/>
    </row>
    <row r="37" spans="4:20" ht="14.95" thickBot="1" x14ac:dyDescent="0.3">
      <c r="D37" s="5" t="s">
        <v>656</v>
      </c>
      <c r="E37" s="472">
        <f>S31</f>
        <v>23400</v>
      </c>
      <c r="F37" s="13"/>
      <c r="G37" s="542"/>
      <c r="H37" s="542"/>
      <c r="I37" s="542"/>
      <c r="J37" s="542"/>
      <c r="K37" s="542"/>
      <c r="L37" s="542"/>
      <c r="M37" s="542"/>
      <c r="N37" s="542"/>
      <c r="O37" s="542"/>
      <c r="P37" s="542"/>
      <c r="Q37" s="542"/>
      <c r="R37" s="542"/>
      <c r="S37" s="542"/>
      <c r="T37" s="542"/>
    </row>
    <row r="38" spans="4:20" ht="14.95" thickBot="1" x14ac:dyDescent="0.3">
      <c r="D38" s="10"/>
      <c r="E38" s="473">
        <f>SUM(E35:E37)</f>
        <v>140740</v>
      </c>
      <c r="F38" s="13"/>
      <c r="G38" s="542"/>
      <c r="H38" s="542"/>
      <c r="I38" s="542"/>
      <c r="J38" s="542"/>
      <c r="K38" s="542"/>
      <c r="L38" s="542"/>
      <c r="M38" s="542"/>
      <c r="N38" s="542"/>
      <c r="O38" s="542"/>
      <c r="P38" s="542"/>
      <c r="Q38" s="542"/>
      <c r="R38" s="542"/>
      <c r="S38" s="542"/>
      <c r="T38" s="542"/>
    </row>
    <row r="39" spans="4:20" x14ac:dyDescent="0.25">
      <c r="D39" s="540"/>
      <c r="E39" s="540"/>
      <c r="F39" s="541"/>
      <c r="G39" s="542"/>
      <c r="H39" s="542"/>
      <c r="I39" s="542"/>
      <c r="J39" s="542"/>
      <c r="K39" s="542"/>
      <c r="L39" s="542"/>
      <c r="M39" s="542"/>
      <c r="N39" s="542"/>
      <c r="O39" s="542"/>
      <c r="P39" s="542"/>
      <c r="Q39" s="542"/>
      <c r="R39" s="542"/>
      <c r="S39" s="542"/>
      <c r="T39" s="542"/>
    </row>
  </sheetData>
  <mergeCells count="5">
    <mergeCell ref="D2:K2"/>
    <mergeCell ref="F14:J14"/>
    <mergeCell ref="D16:T16"/>
    <mergeCell ref="D23:T23"/>
    <mergeCell ref="E34:F3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sheetPr>
  <dimension ref="B2:T54"/>
  <sheetViews>
    <sheetView workbookViewId="0">
      <selection activeCell="O25" sqref="O25"/>
    </sheetView>
  </sheetViews>
  <sheetFormatPr defaultColWidth="8.75" defaultRowHeight="14.3" x14ac:dyDescent="0.25"/>
  <cols>
    <col min="1" max="1" width="8.75" style="63"/>
    <col min="2" max="2" width="12.75" style="63" customWidth="1"/>
    <col min="3" max="9" width="8.75" style="63"/>
    <col min="10" max="10" width="4.5" style="63" customWidth="1"/>
    <col min="11" max="11" width="9.5" style="63" customWidth="1"/>
    <col min="12" max="12" width="17.75" style="63" customWidth="1"/>
    <col min="13" max="13" width="12.5" style="63" customWidth="1"/>
    <col min="14" max="14" width="12.5" style="63" bestFit="1" customWidth="1"/>
    <col min="15" max="15" width="13.375" style="63" bestFit="1" customWidth="1"/>
    <col min="16" max="16" width="20" style="63" bestFit="1" customWidth="1"/>
    <col min="17" max="17" width="11.75" style="63" bestFit="1" customWidth="1"/>
    <col min="18" max="18" width="8.75" style="63"/>
    <col min="19" max="19" width="10.25" style="63" customWidth="1"/>
    <col min="20" max="16384" width="8.75" style="63"/>
  </cols>
  <sheetData>
    <row r="2" spans="2:2" x14ac:dyDescent="0.25">
      <c r="B2" s="64" t="s">
        <v>704</v>
      </c>
    </row>
    <row r="17" spans="2:20" x14ac:dyDescent="0.25">
      <c r="O17" s="63">
        <v>20000</v>
      </c>
      <c r="P17" s="63" t="s">
        <v>705</v>
      </c>
    </row>
    <row r="18" spans="2:20" x14ac:dyDescent="0.25">
      <c r="P18" s="63" t="s">
        <v>706</v>
      </c>
    </row>
    <row r="19" spans="2:20" x14ac:dyDescent="0.25">
      <c r="B19" s="63" t="s">
        <v>707</v>
      </c>
      <c r="K19" s="573" t="s">
        <v>708</v>
      </c>
      <c r="L19" s="574"/>
      <c r="M19" s="574"/>
      <c r="N19" s="575" t="s">
        <v>44</v>
      </c>
    </row>
    <row r="20" spans="2:20" x14ac:dyDescent="0.25">
      <c r="E20" s="546" t="s">
        <v>709</v>
      </c>
      <c r="K20" s="576"/>
      <c r="L20" s="64" t="s">
        <v>710</v>
      </c>
      <c r="M20" s="64"/>
      <c r="N20" s="577">
        <v>3000</v>
      </c>
      <c r="O20" s="577"/>
    </row>
    <row r="21" spans="2:20" x14ac:dyDescent="0.25">
      <c r="C21" s="547" t="s">
        <v>711</v>
      </c>
      <c r="D21" s="547" t="s">
        <v>712</v>
      </c>
      <c r="E21" s="547" t="s">
        <v>713</v>
      </c>
      <c r="F21" s="547" t="s">
        <v>5</v>
      </c>
      <c r="H21" s="547" t="str">
        <f t="shared" ref="H21:H26" si="0">D21</f>
        <v>Mat'l</v>
      </c>
      <c r="I21" s="578" t="s">
        <v>714</v>
      </c>
      <c r="J21" s="579"/>
      <c r="K21" s="576"/>
      <c r="L21" s="64" t="s">
        <v>715</v>
      </c>
      <c r="M21" s="580">
        <v>0.3</v>
      </c>
      <c r="N21" s="581">
        <f>N20*M21</f>
        <v>900</v>
      </c>
      <c r="O21" s="582"/>
      <c r="P21" s="583"/>
      <c r="Q21" s="583"/>
      <c r="R21" s="583"/>
      <c r="S21" s="583"/>
      <c r="T21" s="583"/>
    </row>
    <row r="22" spans="2:20" x14ac:dyDescent="0.25">
      <c r="C22" s="546" t="s">
        <v>716</v>
      </c>
      <c r="D22" s="548">
        <v>200</v>
      </c>
      <c r="E22" s="548">
        <v>100</v>
      </c>
      <c r="F22" s="561">
        <f>SUM(D22:E22)</f>
        <v>300</v>
      </c>
      <c r="H22" s="561">
        <f t="shared" si="0"/>
        <v>200</v>
      </c>
      <c r="I22" s="584">
        <f>H22/$H$26</f>
        <v>0.27972027972027974</v>
      </c>
      <c r="J22" s="584"/>
      <c r="K22" s="576"/>
      <c r="L22" s="64" t="s">
        <v>717</v>
      </c>
      <c r="M22" s="585"/>
      <c r="N22" s="582">
        <f>N20-N21</f>
        <v>2100</v>
      </c>
      <c r="O22" s="582"/>
      <c r="P22" s="583"/>
      <c r="Q22" s="583"/>
      <c r="R22" s="583"/>
      <c r="S22" s="583"/>
      <c r="T22" s="583"/>
    </row>
    <row r="23" spans="2:20" x14ac:dyDescent="0.25">
      <c r="C23" s="546" t="s">
        <v>718</v>
      </c>
      <c r="D23" s="548">
        <v>40</v>
      </c>
      <c r="E23" s="548">
        <v>25</v>
      </c>
      <c r="F23" s="561">
        <f t="shared" ref="F23:F25" si="1">SUM(D23:E23)</f>
        <v>65</v>
      </c>
      <c r="H23" s="561">
        <f t="shared" si="0"/>
        <v>40</v>
      </c>
      <c r="I23" s="584">
        <f t="shared" ref="I23:I25" si="2">H23/$H$26</f>
        <v>5.5944055944055944E-2</v>
      </c>
      <c r="J23" s="584"/>
      <c r="K23" s="576"/>
      <c r="L23" s="64"/>
      <c r="M23" s="585"/>
      <c r="N23" s="585"/>
      <c r="O23" s="585"/>
      <c r="P23" s="583"/>
      <c r="Q23" s="583"/>
      <c r="R23" s="583"/>
      <c r="S23" s="583"/>
      <c r="T23" s="583"/>
    </row>
    <row r="24" spans="2:20" x14ac:dyDescent="0.25">
      <c r="C24" s="546" t="s">
        <v>719</v>
      </c>
      <c r="D24" s="548">
        <v>275</v>
      </c>
      <c r="E24" s="548">
        <v>300</v>
      </c>
      <c r="F24" s="561">
        <f t="shared" si="1"/>
        <v>575</v>
      </c>
      <c r="H24" s="561">
        <f t="shared" si="0"/>
        <v>275</v>
      </c>
      <c r="I24" s="584">
        <f t="shared" si="2"/>
        <v>0.38461538461538464</v>
      </c>
      <c r="J24" s="584"/>
      <c r="K24" s="576"/>
      <c r="L24" s="64" t="s">
        <v>720</v>
      </c>
      <c r="M24" s="580">
        <v>0.25</v>
      </c>
      <c r="N24" s="586">
        <f>M24*N22</f>
        <v>525</v>
      </c>
      <c r="O24" s="587"/>
      <c r="P24" s="583"/>
      <c r="Q24" s="583"/>
      <c r="R24" s="583"/>
      <c r="S24" s="583"/>
      <c r="T24" s="583"/>
    </row>
    <row r="25" spans="2:20" x14ac:dyDescent="0.25">
      <c r="C25" s="546" t="s">
        <v>721</v>
      </c>
      <c r="D25" s="548">
        <v>200</v>
      </c>
      <c r="E25" s="548">
        <v>180</v>
      </c>
      <c r="F25" s="561">
        <f t="shared" si="1"/>
        <v>380</v>
      </c>
      <c r="H25" s="561">
        <f t="shared" si="0"/>
        <v>200</v>
      </c>
      <c r="I25" s="584">
        <f t="shared" si="2"/>
        <v>0.27972027972027974</v>
      </c>
      <c r="J25" s="584"/>
      <c r="K25" s="576"/>
      <c r="L25" s="64" t="s">
        <v>722</v>
      </c>
      <c r="M25" s="587"/>
      <c r="N25" s="586">
        <f>6000/50</f>
        <v>120</v>
      </c>
      <c r="O25" s="587"/>
      <c r="P25" s="583"/>
      <c r="Q25" s="583"/>
      <c r="R25" s="583"/>
      <c r="S25" s="583"/>
      <c r="T25" s="583"/>
    </row>
    <row r="26" spans="2:20" ht="14.95" thickBot="1" x14ac:dyDescent="0.3">
      <c r="D26" s="588">
        <f>SUM(D22:D25)</f>
        <v>715</v>
      </c>
      <c r="E26" s="588">
        <f>SUM(E22:E25)</f>
        <v>605</v>
      </c>
      <c r="F26" s="589">
        <f>SUM(F22:F25)</f>
        <v>1320</v>
      </c>
      <c r="H26" s="590">
        <f t="shared" si="0"/>
        <v>715</v>
      </c>
      <c r="I26" s="591">
        <f>SUM(I22:I25)</f>
        <v>1</v>
      </c>
      <c r="J26" s="592"/>
      <c r="K26" s="576"/>
      <c r="L26" s="64" t="s">
        <v>723</v>
      </c>
      <c r="M26" s="585"/>
      <c r="N26" s="586">
        <f>2000000/20000</f>
        <v>100</v>
      </c>
      <c r="O26" s="582"/>
      <c r="P26" s="583"/>
      <c r="Q26" s="583"/>
      <c r="R26" s="583"/>
      <c r="S26" s="583"/>
      <c r="T26" s="583"/>
    </row>
    <row r="27" spans="2:20" ht="14.95" thickTop="1" x14ac:dyDescent="0.25">
      <c r="K27" s="576"/>
      <c r="L27" s="64" t="s">
        <v>724</v>
      </c>
      <c r="M27" s="580">
        <v>0.03</v>
      </c>
      <c r="N27" s="593">
        <f>M27*N22</f>
        <v>63</v>
      </c>
      <c r="O27" s="587"/>
      <c r="P27" s="583"/>
      <c r="Q27" s="583"/>
      <c r="R27" s="583"/>
      <c r="S27" s="583"/>
      <c r="T27" s="583"/>
    </row>
    <row r="28" spans="2:20" x14ac:dyDescent="0.25">
      <c r="B28" s="63" t="s">
        <v>725</v>
      </c>
      <c r="K28" s="576"/>
      <c r="L28" s="64" t="s">
        <v>726</v>
      </c>
      <c r="M28" s="585"/>
      <c r="N28" s="593">
        <f>1500000/20000</f>
        <v>75</v>
      </c>
      <c r="O28" s="582"/>
      <c r="P28" s="583"/>
      <c r="Q28" s="583"/>
      <c r="R28" s="583"/>
      <c r="S28" s="583"/>
      <c r="T28" s="583"/>
    </row>
    <row r="29" spans="2:20" x14ac:dyDescent="0.25">
      <c r="B29" s="63" t="s">
        <v>128</v>
      </c>
      <c r="C29" s="63" t="s">
        <v>727</v>
      </c>
      <c r="K29" s="576"/>
      <c r="L29" s="594"/>
      <c r="M29" s="585"/>
      <c r="N29" s="595"/>
      <c r="O29" s="582"/>
      <c r="P29" s="583"/>
      <c r="Q29" s="583"/>
      <c r="R29" s="583"/>
      <c r="S29" s="583"/>
      <c r="T29" s="583"/>
    </row>
    <row r="30" spans="2:20" x14ac:dyDescent="0.25">
      <c r="K30" s="576"/>
      <c r="L30" s="64" t="s">
        <v>728</v>
      </c>
      <c r="M30" s="585"/>
      <c r="N30" s="595">
        <f>N22-N24-N25-N26-N27-N28</f>
        <v>1217</v>
      </c>
      <c r="O30" s="582"/>
      <c r="P30" s="583"/>
      <c r="Q30" s="583"/>
      <c r="R30" s="583"/>
      <c r="S30" s="583"/>
      <c r="T30" s="583"/>
    </row>
    <row r="31" spans="2:20" x14ac:dyDescent="0.25">
      <c r="K31" s="576"/>
      <c r="L31" s="64" t="s">
        <v>729</v>
      </c>
      <c r="M31" s="583"/>
      <c r="N31" s="596">
        <f>F26</f>
        <v>1320</v>
      </c>
      <c r="O31" s="582"/>
      <c r="P31" s="583"/>
      <c r="Q31" s="583"/>
      <c r="R31" s="583"/>
      <c r="S31" s="583"/>
      <c r="T31" s="583"/>
    </row>
    <row r="32" spans="2:20" x14ac:dyDescent="0.25">
      <c r="K32" s="576"/>
      <c r="L32" s="63" t="s">
        <v>730</v>
      </c>
      <c r="M32" s="583"/>
      <c r="N32" s="596">
        <f>N30-N31</f>
        <v>-103</v>
      </c>
      <c r="O32" s="595"/>
      <c r="P32" s="583"/>
      <c r="Q32" s="583"/>
      <c r="R32" s="583"/>
      <c r="S32" s="583"/>
      <c r="T32" s="583"/>
    </row>
    <row r="33" spans="2:20" x14ac:dyDescent="0.25">
      <c r="B33" s="573" t="s">
        <v>731</v>
      </c>
      <c r="C33" s="574"/>
      <c r="D33" s="574"/>
      <c r="E33" s="574"/>
      <c r="M33" s="583"/>
      <c r="N33" s="583"/>
      <c r="O33" s="583"/>
      <c r="P33" s="583"/>
      <c r="Q33" s="583"/>
      <c r="R33" s="583"/>
      <c r="S33" s="583"/>
      <c r="T33" s="583"/>
    </row>
    <row r="34" spans="2:20" x14ac:dyDescent="0.25">
      <c r="B34" s="63" t="s">
        <v>732</v>
      </c>
      <c r="M34" s="583"/>
      <c r="N34" s="583"/>
      <c r="O34" s="583"/>
      <c r="P34" s="583"/>
      <c r="Q34" s="583"/>
      <c r="R34" s="583"/>
      <c r="S34" s="583"/>
      <c r="T34" s="583"/>
    </row>
    <row r="35" spans="2:20" x14ac:dyDescent="0.25">
      <c r="C35" s="597" t="s">
        <v>733</v>
      </c>
      <c r="L35" s="546"/>
      <c r="M35" s="597"/>
      <c r="N35" s="597"/>
      <c r="O35" s="597"/>
      <c r="P35" s="583"/>
      <c r="Q35" s="597"/>
      <c r="R35" s="597"/>
      <c r="S35" s="597"/>
      <c r="T35" s="597"/>
    </row>
    <row r="36" spans="2:20" x14ac:dyDescent="0.25">
      <c r="B36" s="547" t="s">
        <v>734</v>
      </c>
      <c r="C36" s="547" t="s">
        <v>735</v>
      </c>
      <c r="D36" s="574" t="s">
        <v>736</v>
      </c>
      <c r="E36" s="574"/>
      <c r="F36" s="574"/>
      <c r="G36" s="574"/>
      <c r="H36" s="574"/>
      <c r="I36" s="574"/>
      <c r="J36" s="583"/>
      <c r="L36" s="578" t="s">
        <v>734</v>
      </c>
      <c r="M36" s="579" t="s">
        <v>735</v>
      </c>
      <c r="N36" s="579" t="s">
        <v>737</v>
      </c>
      <c r="O36" s="579" t="s">
        <v>738</v>
      </c>
      <c r="P36" s="579" t="s">
        <v>739</v>
      </c>
      <c r="Q36" s="579"/>
      <c r="R36" s="579"/>
      <c r="S36" s="579"/>
      <c r="T36" s="579"/>
    </row>
    <row r="37" spans="2:20" x14ac:dyDescent="0.25">
      <c r="B37" s="63" t="s">
        <v>740</v>
      </c>
      <c r="C37" s="549">
        <v>10</v>
      </c>
      <c r="D37" s="63" t="s">
        <v>741</v>
      </c>
      <c r="K37" s="576"/>
      <c r="L37" s="598" t="str">
        <f>B37</f>
        <v>Smooth Ride</v>
      </c>
      <c r="M37" s="599">
        <f>C37</f>
        <v>10</v>
      </c>
      <c r="N37" s="600" t="s">
        <v>716</v>
      </c>
      <c r="O37" s="601">
        <v>0.3</v>
      </c>
      <c r="P37" s="602">
        <f>M37*O37</f>
        <v>3</v>
      </c>
      <c r="Q37" s="603"/>
      <c r="R37" s="604"/>
      <c r="S37" s="605"/>
      <c r="T37" s="585"/>
    </row>
    <row r="38" spans="2:20" x14ac:dyDescent="0.25">
      <c r="B38" s="63" t="s">
        <v>742</v>
      </c>
      <c r="C38" s="549">
        <v>8</v>
      </c>
      <c r="D38" s="63" t="s">
        <v>743</v>
      </c>
      <c r="K38" s="576"/>
      <c r="M38" s="606"/>
      <c r="N38" s="607" t="s">
        <v>718</v>
      </c>
      <c r="O38" s="601">
        <v>0.7</v>
      </c>
      <c r="P38" s="608">
        <f>M37*O38</f>
        <v>7</v>
      </c>
      <c r="Q38" s="603"/>
      <c r="R38" s="604"/>
      <c r="S38" s="605"/>
      <c r="T38" s="585"/>
    </row>
    <row r="39" spans="2:20" x14ac:dyDescent="0.25">
      <c r="B39" s="63" t="s">
        <v>744</v>
      </c>
      <c r="C39" s="549">
        <v>5</v>
      </c>
      <c r="D39" s="63" t="s">
        <v>745</v>
      </c>
      <c r="K39" s="576"/>
      <c r="L39" s="598" t="str">
        <f>B38</f>
        <v>Quiet Engine</v>
      </c>
      <c r="M39" s="593">
        <f>C38</f>
        <v>8</v>
      </c>
      <c r="N39" s="600" t="s">
        <v>716</v>
      </c>
      <c r="O39" s="609">
        <v>0.1</v>
      </c>
      <c r="P39" s="602">
        <f>M39*O39</f>
        <v>0.8</v>
      </c>
      <c r="Q39" s="603"/>
      <c r="R39" s="604"/>
      <c r="S39" s="605"/>
      <c r="T39" s="585"/>
    </row>
    <row r="40" spans="2:20" ht="14.95" thickBot="1" x14ac:dyDescent="0.3">
      <c r="B40" s="610" t="s">
        <v>5</v>
      </c>
      <c r="C40" s="611">
        <f>SUM(C37:C39)</f>
        <v>23</v>
      </c>
      <c r="K40" s="576"/>
      <c r="M40" s="607"/>
      <c r="N40" s="600" t="s">
        <v>719</v>
      </c>
      <c r="O40" s="609">
        <v>0.8</v>
      </c>
      <c r="P40" s="612">
        <f>M39*O40</f>
        <v>6.4</v>
      </c>
      <c r="Q40" s="603"/>
      <c r="R40" s="604"/>
      <c r="S40" s="605"/>
      <c r="T40" s="585"/>
    </row>
    <row r="41" spans="2:20" ht="14.95" thickTop="1" x14ac:dyDescent="0.25">
      <c r="B41" s="576"/>
      <c r="C41" s="576"/>
      <c r="K41" s="576"/>
      <c r="L41" s="598"/>
      <c r="M41" s="600"/>
      <c r="N41" s="600" t="s">
        <v>721</v>
      </c>
      <c r="O41" s="609">
        <v>0.1</v>
      </c>
      <c r="P41" s="600">
        <f>M39*O41</f>
        <v>0.8</v>
      </c>
      <c r="Q41" s="613"/>
      <c r="R41" s="614"/>
      <c r="S41" s="585"/>
      <c r="T41" s="583"/>
    </row>
    <row r="42" spans="2:20" x14ac:dyDescent="0.25">
      <c r="B42" s="63" t="s">
        <v>725</v>
      </c>
      <c r="L42" s="598" t="str">
        <f>B39</f>
        <v>Low Emission</v>
      </c>
      <c r="M42" s="615">
        <f>C39</f>
        <v>5</v>
      </c>
      <c r="N42" s="616" t="s">
        <v>718</v>
      </c>
      <c r="O42" s="617">
        <v>0.4</v>
      </c>
      <c r="P42" s="618">
        <f>M42*O42</f>
        <v>2</v>
      </c>
      <c r="Q42" s="616"/>
      <c r="R42" s="583"/>
      <c r="S42" s="583"/>
      <c r="T42" s="583"/>
    </row>
    <row r="43" spans="2:20" x14ac:dyDescent="0.25">
      <c r="B43" s="63" t="s">
        <v>152</v>
      </c>
      <c r="C43" s="63" t="s">
        <v>746</v>
      </c>
      <c r="L43" s="557"/>
      <c r="M43" s="616"/>
      <c r="N43" s="616" t="s">
        <v>719</v>
      </c>
      <c r="O43" s="617">
        <v>0.4</v>
      </c>
      <c r="P43" s="619">
        <f>M42*O43</f>
        <v>2</v>
      </c>
      <c r="Q43" s="616"/>
      <c r="R43" s="583"/>
      <c r="S43" s="583"/>
      <c r="T43" s="583"/>
    </row>
    <row r="44" spans="2:20" x14ac:dyDescent="0.25">
      <c r="L44" s="557"/>
      <c r="M44" s="557"/>
      <c r="N44" s="557" t="s">
        <v>721</v>
      </c>
      <c r="O44" s="620">
        <v>0.2</v>
      </c>
      <c r="P44" s="621">
        <f>M42*O44</f>
        <v>1</v>
      </c>
      <c r="Q44" s="557"/>
    </row>
    <row r="45" spans="2:20" ht="14.95" thickBot="1" x14ac:dyDescent="0.3">
      <c r="L45" s="557"/>
      <c r="M45" s="557"/>
      <c r="N45" s="557"/>
      <c r="O45" s="557"/>
      <c r="P45" s="622">
        <f>SUM(P37:P44)</f>
        <v>23.000000000000004</v>
      </c>
      <c r="Q45" s="557"/>
    </row>
    <row r="46" spans="2:20" ht="14.95" thickTop="1" x14ac:dyDescent="0.25">
      <c r="L46" s="557" t="s">
        <v>737</v>
      </c>
      <c r="M46" s="557" t="s">
        <v>747</v>
      </c>
      <c r="N46" s="557" t="s">
        <v>748</v>
      </c>
      <c r="O46" s="557" t="s">
        <v>749</v>
      </c>
      <c r="P46" s="557" t="s">
        <v>750</v>
      </c>
      <c r="Q46" s="557" t="s">
        <v>751</v>
      </c>
    </row>
    <row r="47" spans="2:20" x14ac:dyDescent="0.25">
      <c r="L47" s="623" t="str">
        <f>N37</f>
        <v>A</v>
      </c>
      <c r="M47" s="624">
        <f>D22</f>
        <v>200</v>
      </c>
      <c r="N47" s="625">
        <f>M47/M51</f>
        <v>0.27972027972027974</v>
      </c>
      <c r="O47" s="625">
        <f>(P37+P39)/P45</f>
        <v>0.16521739130434779</v>
      </c>
      <c r="P47" s="626">
        <f>O47/N47</f>
        <v>0.59065217391304325</v>
      </c>
      <c r="Q47" s="557" t="s">
        <v>752</v>
      </c>
    </row>
    <row r="48" spans="2:20" x14ac:dyDescent="0.25">
      <c r="L48" s="557" t="s">
        <v>718</v>
      </c>
      <c r="M48" s="624">
        <f>D23</f>
        <v>40</v>
      </c>
      <c r="N48" s="625">
        <f>M48/M51</f>
        <v>5.5944055944055944E-2</v>
      </c>
      <c r="O48" s="625">
        <f>(P38+P42)/P45</f>
        <v>0.39130434782608692</v>
      </c>
      <c r="P48" s="626">
        <f t="shared" ref="P48:P50" si="3">O48/N48</f>
        <v>6.9945652173913038</v>
      </c>
      <c r="Q48" s="557" t="s">
        <v>753</v>
      </c>
    </row>
    <row r="49" spans="12:18" x14ac:dyDescent="0.25">
      <c r="L49" s="557" t="s">
        <v>719</v>
      </c>
      <c r="M49" s="624">
        <f>D24</f>
        <v>275</v>
      </c>
      <c r="N49" s="625">
        <f>M49/M51</f>
        <v>0.38461538461538464</v>
      </c>
      <c r="O49" s="625">
        <f>(P40+P43)/P45</f>
        <v>0.36521739130434777</v>
      </c>
      <c r="P49" s="626">
        <f t="shared" si="3"/>
        <v>0.94956521739130417</v>
      </c>
      <c r="Q49" s="627" t="s">
        <v>754</v>
      </c>
    </row>
    <row r="50" spans="12:18" x14ac:dyDescent="0.25">
      <c r="L50" s="557" t="s">
        <v>721</v>
      </c>
      <c r="M50" s="624">
        <f>D25</f>
        <v>200</v>
      </c>
      <c r="N50" s="625">
        <f>M50/M51</f>
        <v>0.27972027972027974</v>
      </c>
      <c r="O50" s="625">
        <f>(P41+P44)/P45</f>
        <v>7.8260869565217384E-2</v>
      </c>
      <c r="P50" s="626">
        <f t="shared" si="3"/>
        <v>0.27978260869565214</v>
      </c>
      <c r="Q50" s="557" t="s">
        <v>752</v>
      </c>
    </row>
    <row r="51" spans="12:18" x14ac:dyDescent="0.25">
      <c r="L51" s="557"/>
      <c r="M51" s="624">
        <f>SUM(M47:M50)</f>
        <v>715</v>
      </c>
      <c r="N51" s="625">
        <f>SUM(N47:N50)</f>
        <v>1</v>
      </c>
      <c r="O51" s="625">
        <f>SUM(O47:O50)</f>
        <v>0.99999999999999978</v>
      </c>
      <c r="P51" s="626"/>
      <c r="Q51" s="557"/>
    </row>
    <row r="52" spans="12:18" ht="19.05" x14ac:dyDescent="0.35">
      <c r="L52" s="68" t="s">
        <v>755</v>
      </c>
      <c r="M52"/>
      <c r="N52"/>
      <c r="O52"/>
      <c r="P52"/>
      <c r="Q52"/>
      <c r="R52"/>
    </row>
    <row r="53" spans="12:18" ht="19.05" x14ac:dyDescent="0.35">
      <c r="L53" s="68" t="s">
        <v>756</v>
      </c>
      <c r="M53"/>
      <c r="N53"/>
      <c r="O53"/>
      <c r="P53"/>
      <c r="Q53"/>
      <c r="R53"/>
    </row>
    <row r="54" spans="12:18" ht="19.05" x14ac:dyDescent="0.35">
      <c r="L54" s="628" t="s">
        <v>757</v>
      </c>
      <c r="M54" s="288"/>
      <c r="N54"/>
      <c r="O54"/>
      <c r="P54"/>
      <c r="Q54"/>
      <c r="R54"/>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sheetPr>
  <dimension ref="A1:Q38"/>
  <sheetViews>
    <sheetView workbookViewId="0">
      <selection activeCell="Q33" sqref="Q33"/>
    </sheetView>
  </sheetViews>
  <sheetFormatPr defaultRowHeight="14.3" x14ac:dyDescent="0.25"/>
  <cols>
    <col min="1" max="1" width="26" customWidth="1"/>
    <col min="2" max="2" width="9.875" bestFit="1" customWidth="1"/>
    <col min="3" max="3" width="11.5" customWidth="1"/>
    <col min="4" max="4" width="12.5" customWidth="1"/>
    <col min="5" max="5" width="7.125" bestFit="1" customWidth="1"/>
    <col min="6" max="6" width="14.5" customWidth="1"/>
  </cols>
  <sheetData>
    <row r="1" spans="1:17" x14ac:dyDescent="0.25">
      <c r="A1" s="629" t="s">
        <v>758</v>
      </c>
    </row>
    <row r="2" spans="1:17" x14ac:dyDescent="0.25">
      <c r="A2" s="630" t="s">
        <v>759</v>
      </c>
      <c r="B2" s="631"/>
      <c r="C2" s="632"/>
      <c r="D2" s="630"/>
      <c r="E2" s="630"/>
      <c r="F2" s="630"/>
    </row>
    <row r="3" spans="1:17" ht="14.95" thickBot="1" x14ac:dyDescent="0.3"/>
    <row r="4" spans="1:17" x14ac:dyDescent="0.25">
      <c r="A4" s="2"/>
      <c r="B4" s="633" t="s">
        <v>760</v>
      </c>
      <c r="C4" s="634" t="s">
        <v>714</v>
      </c>
      <c r="D4" s="802" t="s">
        <v>761</v>
      </c>
      <c r="E4" s="802"/>
      <c r="F4" s="635" t="s">
        <v>48</v>
      </c>
      <c r="G4" s="3"/>
      <c r="H4" s="3"/>
      <c r="I4" s="3"/>
      <c r="J4" s="3"/>
      <c r="K4" s="3"/>
      <c r="L4" s="3"/>
      <c r="M4" s="3"/>
      <c r="N4" s="3"/>
      <c r="O4" s="3"/>
      <c r="P4" s="3"/>
      <c r="Q4" s="4"/>
    </row>
    <row r="5" spans="1:17" x14ac:dyDescent="0.25">
      <c r="A5" s="636" t="s">
        <v>710</v>
      </c>
      <c r="B5" s="637"/>
      <c r="C5" s="638"/>
      <c r="D5" s="639"/>
      <c r="E5" s="639"/>
      <c r="F5" s="637">
        <v>150</v>
      </c>
      <c r="G5" s="640" t="s">
        <v>762</v>
      </c>
      <c r="H5" s="7"/>
      <c r="I5" s="7"/>
      <c r="J5" s="7"/>
      <c r="K5" s="7"/>
      <c r="L5" s="7"/>
      <c r="M5" s="7"/>
      <c r="N5" s="7"/>
      <c r="O5" s="7"/>
      <c r="P5" s="7"/>
      <c r="Q5" s="8"/>
    </row>
    <row r="6" spans="1:17" x14ac:dyDescent="0.25">
      <c r="A6" s="641" t="s">
        <v>763</v>
      </c>
      <c r="B6" s="7"/>
      <c r="C6" s="642">
        <v>0.3</v>
      </c>
      <c r="D6" s="7"/>
      <c r="E6" s="7"/>
      <c r="F6" s="643">
        <f>F5*C6</f>
        <v>45</v>
      </c>
      <c r="G6" s="640" t="s">
        <v>764</v>
      </c>
      <c r="H6" s="7"/>
      <c r="I6" s="7"/>
      <c r="J6" s="7"/>
      <c r="K6" s="7"/>
      <c r="L6" s="7"/>
      <c r="M6" s="7"/>
      <c r="N6" s="7"/>
      <c r="O6" s="7"/>
      <c r="P6" s="7"/>
      <c r="Q6" s="8"/>
    </row>
    <row r="7" spans="1:17" x14ac:dyDescent="0.25">
      <c r="A7" s="636" t="s">
        <v>765</v>
      </c>
      <c r="B7" s="637"/>
      <c r="C7" s="638"/>
      <c r="D7" s="639"/>
      <c r="E7" s="639"/>
      <c r="F7" s="637">
        <f>F5-F6</f>
        <v>105</v>
      </c>
      <c r="G7" s="640" t="s">
        <v>766</v>
      </c>
      <c r="H7" s="7"/>
      <c r="I7" s="7"/>
      <c r="J7" s="7"/>
      <c r="K7" s="7"/>
      <c r="L7" s="7"/>
      <c r="M7" s="7"/>
      <c r="N7" s="7"/>
      <c r="O7" s="7"/>
      <c r="P7" s="7"/>
      <c r="Q7" s="8"/>
    </row>
    <row r="8" spans="1:17" x14ac:dyDescent="0.25">
      <c r="A8" s="641" t="s">
        <v>767</v>
      </c>
      <c r="B8" s="7"/>
      <c r="C8" s="642">
        <v>0.03</v>
      </c>
      <c r="D8" s="644"/>
      <c r="E8" s="7"/>
      <c r="F8" s="643">
        <f>C8*F7</f>
        <v>3.15</v>
      </c>
      <c r="G8" s="7"/>
      <c r="H8" s="7"/>
      <c r="I8" s="7"/>
      <c r="J8" s="7"/>
      <c r="K8" s="7"/>
      <c r="L8" s="7"/>
      <c r="M8" s="7"/>
      <c r="N8" s="7"/>
      <c r="O8" s="7"/>
      <c r="P8" s="7"/>
      <c r="Q8" s="8"/>
    </row>
    <row r="9" spans="1:17" x14ac:dyDescent="0.25">
      <c r="A9" s="641" t="s">
        <v>768</v>
      </c>
      <c r="B9" s="645">
        <v>50000</v>
      </c>
      <c r="C9" s="7"/>
      <c r="D9" s="646">
        <v>10000</v>
      </c>
      <c r="E9" s="644"/>
      <c r="F9" s="643">
        <f>B9/D9</f>
        <v>5</v>
      </c>
      <c r="G9" s="7"/>
      <c r="H9" s="7"/>
      <c r="I9" s="7"/>
      <c r="J9" s="7"/>
      <c r="K9" s="7"/>
      <c r="L9" s="7"/>
      <c r="M9" s="7"/>
      <c r="N9" s="7"/>
      <c r="O9" s="7"/>
      <c r="P9" s="7"/>
      <c r="Q9" s="8"/>
    </row>
    <row r="10" spans="1:17" x14ac:dyDescent="0.25">
      <c r="A10" s="641" t="s">
        <v>769</v>
      </c>
      <c r="B10" s="645">
        <v>200000</v>
      </c>
      <c r="C10" s="7"/>
      <c r="D10" s="646">
        <v>40000</v>
      </c>
      <c r="E10" s="644"/>
      <c r="F10" s="643">
        <f>B10/D10</f>
        <v>5</v>
      </c>
      <c r="G10" s="7"/>
      <c r="H10" s="7" t="s">
        <v>770</v>
      </c>
      <c r="I10" s="7"/>
      <c r="J10" s="7"/>
      <c r="K10" s="7"/>
      <c r="L10" s="7"/>
      <c r="M10" s="7"/>
      <c r="N10" s="7"/>
      <c r="O10" s="7"/>
      <c r="P10" s="7"/>
      <c r="Q10" s="8"/>
    </row>
    <row r="11" spans="1:17" x14ac:dyDescent="0.25">
      <c r="A11" s="641" t="s">
        <v>771</v>
      </c>
      <c r="B11" s="7"/>
      <c r="C11" s="642">
        <v>0.2</v>
      </c>
      <c r="D11" s="644"/>
      <c r="E11" s="7"/>
      <c r="F11" s="643">
        <f>C11*F7</f>
        <v>21</v>
      </c>
      <c r="G11" s="7"/>
      <c r="H11" s="7"/>
      <c r="I11" s="7"/>
      <c r="J11" s="7"/>
      <c r="K11" s="7"/>
      <c r="L11" s="7"/>
      <c r="M11" s="7"/>
      <c r="N11" s="7"/>
      <c r="O11" s="7"/>
      <c r="P11" s="7"/>
      <c r="Q11" s="8"/>
    </row>
    <row r="12" spans="1:17" x14ac:dyDescent="0.25">
      <c r="A12" s="641" t="s">
        <v>772</v>
      </c>
      <c r="B12" s="7"/>
      <c r="C12" s="642">
        <v>0.01</v>
      </c>
      <c r="D12" s="644"/>
      <c r="E12" s="7"/>
      <c r="F12" s="643">
        <f>C12*F7</f>
        <v>1.05</v>
      </c>
      <c r="G12" s="7"/>
      <c r="H12" s="7"/>
      <c r="I12" s="7"/>
      <c r="J12" s="7"/>
      <c r="K12" s="7"/>
      <c r="L12" s="7"/>
      <c r="M12" s="7"/>
      <c r="N12" s="7"/>
      <c r="O12" s="7"/>
      <c r="P12" s="7"/>
      <c r="Q12" s="8"/>
    </row>
    <row r="13" spans="1:17" x14ac:dyDescent="0.25">
      <c r="A13" s="641" t="s">
        <v>773</v>
      </c>
      <c r="B13" s="7"/>
      <c r="C13" s="642">
        <v>7.0000000000000007E-2</v>
      </c>
      <c r="D13" s="644"/>
      <c r="E13" s="7"/>
      <c r="F13" s="647">
        <f>C13*F7</f>
        <v>7.3500000000000005</v>
      </c>
      <c r="G13" s="640" t="s">
        <v>774</v>
      </c>
      <c r="H13" s="7"/>
      <c r="I13" s="7"/>
      <c r="J13" s="7"/>
      <c r="K13" s="7"/>
      <c r="L13" s="7"/>
      <c r="M13" s="7"/>
      <c r="N13" s="7"/>
      <c r="O13" s="7"/>
      <c r="P13" s="7"/>
      <c r="Q13" s="8"/>
    </row>
    <row r="14" spans="1:17" ht="14.95" thickBot="1" x14ac:dyDescent="0.3">
      <c r="A14" s="648" t="s">
        <v>775</v>
      </c>
      <c r="B14" s="12"/>
      <c r="C14" s="12"/>
      <c r="D14" s="12"/>
      <c r="E14" s="12"/>
      <c r="F14" s="649">
        <f>F7-F8-F9-F10-F11-F12-F13</f>
        <v>62.449999999999996</v>
      </c>
      <c r="G14" s="650" t="s">
        <v>776</v>
      </c>
      <c r="H14" s="12"/>
      <c r="I14" s="12"/>
      <c r="J14" s="12"/>
      <c r="K14" s="12"/>
      <c r="L14" s="12"/>
      <c r="M14" s="12"/>
      <c r="N14" s="12"/>
      <c r="O14" s="12"/>
      <c r="P14" s="12"/>
      <c r="Q14" s="13"/>
    </row>
    <row r="16" spans="1:17" x14ac:dyDescent="0.25">
      <c r="A16" s="629" t="s">
        <v>777</v>
      </c>
    </row>
    <row r="17" spans="1:12" s="651" customFormat="1" x14ac:dyDescent="0.25">
      <c r="E17" s="652"/>
    </row>
    <row r="18" spans="1:12" s="651" customFormat="1" ht="19.7" thickBot="1" x14ac:dyDescent="0.3">
      <c r="A18" s="653" t="s">
        <v>778</v>
      </c>
      <c r="E18" s="652"/>
    </row>
    <row r="19" spans="1:12" s="658" customFormat="1" ht="29.25" thickBot="1" x14ac:dyDescent="0.3">
      <c r="A19" s="654" t="s">
        <v>734</v>
      </c>
      <c r="B19" s="655" t="s">
        <v>779</v>
      </c>
      <c r="C19" s="655" t="s">
        <v>737</v>
      </c>
      <c r="D19" s="655" t="s">
        <v>780</v>
      </c>
      <c r="E19" s="656" t="s">
        <v>781</v>
      </c>
      <c r="F19" s="657"/>
      <c r="I19" s="659"/>
      <c r="J19" s="659"/>
    </row>
    <row r="20" spans="1:12" s="651" customFormat="1" x14ac:dyDescent="0.25">
      <c r="A20" s="803" t="s">
        <v>782</v>
      </c>
      <c r="B20" s="805">
        <v>9</v>
      </c>
      <c r="C20" s="660" t="s">
        <v>783</v>
      </c>
      <c r="D20" s="661">
        <v>0.6</v>
      </c>
      <c r="E20" s="662">
        <f>B20*D20</f>
        <v>5.3999999999999995</v>
      </c>
      <c r="F20" s="663"/>
      <c r="I20" s="664"/>
      <c r="J20" s="663"/>
    </row>
    <row r="21" spans="1:12" s="651" customFormat="1" ht="14.95" thickBot="1" x14ac:dyDescent="0.3">
      <c r="A21" s="804"/>
      <c r="B21" s="806"/>
      <c r="C21" s="665" t="s">
        <v>784</v>
      </c>
      <c r="D21" s="666">
        <v>0.4</v>
      </c>
      <c r="E21" s="667">
        <f>B20*D21</f>
        <v>3.6</v>
      </c>
      <c r="F21" s="663"/>
      <c r="I21" s="664"/>
      <c r="J21" s="663"/>
    </row>
    <row r="22" spans="1:12" s="651" customFormat="1" ht="14.95" thickBot="1" x14ac:dyDescent="0.3">
      <c r="A22" s="668" t="s">
        <v>785</v>
      </c>
      <c r="B22" s="669">
        <v>7</v>
      </c>
      <c r="C22" s="669" t="s">
        <v>783</v>
      </c>
      <c r="D22" s="670">
        <v>1</v>
      </c>
      <c r="E22" s="671">
        <f>B22*D22</f>
        <v>7</v>
      </c>
      <c r="F22" s="663"/>
      <c r="I22" s="664"/>
      <c r="J22" s="663"/>
    </row>
    <row r="23" spans="1:12" s="651" customFormat="1" x14ac:dyDescent="0.25">
      <c r="A23" s="803" t="s">
        <v>786</v>
      </c>
      <c r="B23" s="805">
        <v>6</v>
      </c>
      <c r="C23" s="660" t="s">
        <v>783</v>
      </c>
      <c r="D23" s="661">
        <v>0.8</v>
      </c>
      <c r="E23" s="662">
        <f>B23*D23</f>
        <v>4.8000000000000007</v>
      </c>
      <c r="F23" s="663"/>
      <c r="I23" s="664"/>
      <c r="J23" s="664"/>
    </row>
    <row r="24" spans="1:12" s="651" customFormat="1" ht="14.95" thickBot="1" x14ac:dyDescent="0.3">
      <c r="A24" s="804"/>
      <c r="B24" s="806"/>
      <c r="C24" s="665" t="s">
        <v>787</v>
      </c>
      <c r="D24" s="666">
        <v>0.2</v>
      </c>
      <c r="E24" s="672">
        <f>B23*D24</f>
        <v>1.2000000000000002</v>
      </c>
      <c r="F24" s="663"/>
    </row>
    <row r="25" spans="1:12" s="651" customFormat="1" x14ac:dyDescent="0.25">
      <c r="A25" s="803" t="s">
        <v>788</v>
      </c>
      <c r="B25" s="805">
        <v>5</v>
      </c>
      <c r="C25" s="660" t="s">
        <v>784</v>
      </c>
      <c r="D25" s="661">
        <v>0.7</v>
      </c>
      <c r="E25" s="673">
        <f>B25*D25</f>
        <v>3.5</v>
      </c>
      <c r="F25" s="663"/>
      <c r="H25" s="799" t="s">
        <v>789</v>
      </c>
      <c r="I25" s="799"/>
      <c r="J25" s="799"/>
      <c r="K25" s="799"/>
    </row>
    <row r="26" spans="1:12" s="651" customFormat="1" ht="14.95" thickBot="1" x14ac:dyDescent="0.3">
      <c r="A26" s="804"/>
      <c r="B26" s="806"/>
      <c r="C26" s="665" t="s">
        <v>787</v>
      </c>
      <c r="D26" s="666">
        <v>0.3</v>
      </c>
      <c r="E26" s="672">
        <f>B25*D26</f>
        <v>1.5</v>
      </c>
      <c r="F26" s="663"/>
    </row>
    <row r="27" spans="1:12" s="651" customFormat="1" ht="14.95" thickBot="1" x14ac:dyDescent="0.3">
      <c r="D27" s="674" t="s">
        <v>790</v>
      </c>
      <c r="E27" s="675">
        <f>SUM(E20:E26)</f>
        <v>27</v>
      </c>
      <c r="F27" s="676"/>
    </row>
    <row r="28" spans="1:12" s="651" customFormat="1" ht="14.95" thickBot="1" x14ac:dyDescent="0.3">
      <c r="E28" s="652"/>
      <c r="F28" s="664"/>
    </row>
    <row r="29" spans="1:12" s="658" customFormat="1" ht="28.55" x14ac:dyDescent="0.25">
      <c r="A29" s="677"/>
      <c r="B29" s="678" t="s">
        <v>791</v>
      </c>
      <c r="C29" s="678" t="s">
        <v>792</v>
      </c>
      <c r="D29" s="678" t="s">
        <v>793</v>
      </c>
      <c r="E29" s="679" t="s">
        <v>750</v>
      </c>
      <c r="F29" s="680" t="s">
        <v>794</v>
      </c>
    </row>
    <row r="30" spans="1:12" s="651" customFormat="1" x14ac:dyDescent="0.25">
      <c r="A30" s="681" t="s">
        <v>784</v>
      </c>
      <c r="B30" s="682">
        <v>12</v>
      </c>
      <c r="C30" s="683">
        <f>B30/B33</f>
        <v>0.32876712328767121</v>
      </c>
      <c r="D30" s="684">
        <f>(E21+E25)/E27</f>
        <v>0.26296296296296295</v>
      </c>
      <c r="E30" s="685">
        <f>D30/C30</f>
        <v>0.79984567901234571</v>
      </c>
      <c r="F30" s="686" t="s">
        <v>752</v>
      </c>
      <c r="G30" s="800" t="s">
        <v>795</v>
      </c>
      <c r="H30" s="801"/>
      <c r="I30" s="801"/>
      <c r="J30" s="801"/>
      <c r="K30" s="801"/>
      <c r="L30" s="801"/>
    </row>
    <row r="31" spans="1:12" s="651" customFormat="1" x14ac:dyDescent="0.25">
      <c r="A31" s="681" t="s">
        <v>783</v>
      </c>
      <c r="B31" s="682">
        <v>18</v>
      </c>
      <c r="C31" s="683">
        <f>B31/B33</f>
        <v>0.49315068493150682</v>
      </c>
      <c r="D31" s="687">
        <f>(E20+E22+E23)/E27</f>
        <v>0.63703703703703696</v>
      </c>
      <c r="E31" s="685">
        <f t="shared" ref="E31:E32" si="0">D31/C31</f>
        <v>1.2917695473251027</v>
      </c>
      <c r="F31" s="686" t="s">
        <v>753</v>
      </c>
      <c r="G31" s="800" t="s">
        <v>796</v>
      </c>
      <c r="H31" s="801"/>
      <c r="I31" s="801"/>
      <c r="J31" s="801"/>
      <c r="K31" s="801"/>
      <c r="L31" s="801"/>
    </row>
    <row r="32" spans="1:12" s="651" customFormat="1" ht="14.95" thickBot="1" x14ac:dyDescent="0.3">
      <c r="A32" s="688" t="s">
        <v>787</v>
      </c>
      <c r="B32" s="689">
        <v>6.5</v>
      </c>
      <c r="C32" s="690">
        <f>B32/B33</f>
        <v>0.17808219178082191</v>
      </c>
      <c r="D32" s="691">
        <f>(E24+E26)/E27</f>
        <v>0.1</v>
      </c>
      <c r="E32" s="692">
        <f t="shared" si="0"/>
        <v>0.56153846153846165</v>
      </c>
      <c r="F32" s="693" t="s">
        <v>752</v>
      </c>
      <c r="G32" s="800" t="s">
        <v>795</v>
      </c>
      <c r="H32" s="801"/>
      <c r="I32" s="801"/>
      <c r="J32" s="801"/>
      <c r="K32" s="801"/>
      <c r="L32" s="801"/>
    </row>
    <row r="33" spans="2:15" s="651" customFormat="1" x14ac:dyDescent="0.25">
      <c r="B33" s="694">
        <f>SUM(B30:B32)</f>
        <v>36.5</v>
      </c>
      <c r="C33" s="695">
        <f>SUM(C30:C32)</f>
        <v>1</v>
      </c>
      <c r="D33" s="696">
        <f>SUM(D30:D32)</f>
        <v>0.99999999999999989</v>
      </c>
      <c r="E33" s="697"/>
    </row>
    <row r="34" spans="2:15" s="651" customFormat="1" x14ac:dyDescent="0.25">
      <c r="E34" s="652"/>
      <c r="G34" s="801" t="s">
        <v>797</v>
      </c>
      <c r="H34" s="801"/>
      <c r="I34" s="801"/>
      <c r="J34" s="801"/>
      <c r="K34" s="801"/>
      <c r="L34" s="801"/>
      <c r="M34" s="801"/>
      <c r="N34" s="801"/>
      <c r="O34" s="801"/>
    </row>
    <row r="35" spans="2:15" ht="14.95" thickBot="1" x14ac:dyDescent="0.3"/>
    <row r="36" spans="2:15" ht="19.05" x14ac:dyDescent="0.35">
      <c r="G36" s="112" t="s">
        <v>755</v>
      </c>
      <c r="H36" s="3"/>
      <c r="I36" s="3"/>
      <c r="J36" s="3"/>
      <c r="K36" s="3"/>
      <c r="L36" s="3"/>
      <c r="M36" s="3"/>
      <c r="N36" s="3"/>
      <c r="O36" s="4"/>
    </row>
    <row r="37" spans="2:15" ht="19.05" x14ac:dyDescent="0.35">
      <c r="G37" s="698" t="s">
        <v>756</v>
      </c>
      <c r="H37" s="7"/>
      <c r="I37" s="7"/>
      <c r="J37" s="7"/>
      <c r="K37" s="7"/>
      <c r="L37" s="7"/>
      <c r="M37" s="7"/>
      <c r="N37" s="7"/>
      <c r="O37" s="8"/>
    </row>
    <row r="38" spans="2:15" ht="19.7" thickBot="1" x14ac:dyDescent="0.4">
      <c r="G38" s="699" t="s">
        <v>757</v>
      </c>
      <c r="H38" s="700"/>
      <c r="I38" s="700"/>
      <c r="J38" s="12"/>
      <c r="K38" s="12"/>
      <c r="L38" s="12"/>
      <c r="M38" s="12"/>
      <c r="N38" s="12"/>
      <c r="O38" s="13"/>
    </row>
  </sheetData>
  <mergeCells count="12">
    <mergeCell ref="A25:A26"/>
    <mergeCell ref="B25:B26"/>
    <mergeCell ref="D4:E4"/>
    <mergeCell ref="A20:A21"/>
    <mergeCell ref="B20:B21"/>
    <mergeCell ref="A23:A24"/>
    <mergeCell ref="B23:B24"/>
    <mergeCell ref="H25:K25"/>
    <mergeCell ref="G30:L30"/>
    <mergeCell ref="G31:L31"/>
    <mergeCell ref="G32:L32"/>
    <mergeCell ref="G34:O34"/>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sheetPr>
  <dimension ref="A1:K14"/>
  <sheetViews>
    <sheetView tabSelected="1" workbookViewId="0">
      <selection activeCell="P18" sqref="P18"/>
    </sheetView>
  </sheetViews>
  <sheetFormatPr defaultRowHeight="14.3" x14ac:dyDescent="0.25"/>
  <cols>
    <col min="2" max="2" width="22.125" bestFit="1" customWidth="1"/>
    <col min="5" max="5" width="22.125" bestFit="1" customWidth="1"/>
    <col min="6" max="6" width="5.25" bestFit="1" customWidth="1"/>
    <col min="7" max="7" width="19.375" bestFit="1" customWidth="1"/>
    <col min="8" max="8" width="4.25" bestFit="1" customWidth="1"/>
    <col min="9" max="9" width="13.875" bestFit="1" customWidth="1"/>
    <col min="10" max="10" width="4.25" bestFit="1" customWidth="1"/>
    <col min="11" max="11" width="19.375" bestFit="1" customWidth="1"/>
  </cols>
  <sheetData>
    <row r="1" spans="1:11" x14ac:dyDescent="0.25">
      <c r="A1" s="1" t="s">
        <v>801</v>
      </c>
    </row>
    <row r="3" spans="1:11" x14ac:dyDescent="0.25">
      <c r="B3" s="807" t="s">
        <v>734</v>
      </c>
      <c r="C3" s="807" t="s">
        <v>803</v>
      </c>
      <c r="E3" s="808"/>
      <c r="F3" s="810" t="s">
        <v>804</v>
      </c>
      <c r="G3" s="808"/>
      <c r="H3" s="808"/>
      <c r="I3" s="808"/>
      <c r="J3" s="808"/>
      <c r="K3" s="808"/>
    </row>
    <row r="4" spans="1:11" x14ac:dyDescent="0.25">
      <c r="B4" s="808" t="s">
        <v>798</v>
      </c>
      <c r="C4" s="808">
        <v>8</v>
      </c>
      <c r="E4" s="808" t="s">
        <v>798</v>
      </c>
      <c r="F4" s="809">
        <v>1</v>
      </c>
      <c r="G4" s="808" t="s">
        <v>783</v>
      </c>
      <c r="H4" s="808"/>
      <c r="I4" s="808"/>
      <c r="J4" s="808"/>
      <c r="K4" s="808"/>
    </row>
    <row r="5" spans="1:11" x14ac:dyDescent="0.25">
      <c r="B5" s="808" t="s">
        <v>799</v>
      </c>
      <c r="C5" s="808">
        <v>10</v>
      </c>
      <c r="E5" s="808" t="s">
        <v>799</v>
      </c>
      <c r="F5" s="809">
        <v>0.2</v>
      </c>
      <c r="G5" s="808" t="s">
        <v>783</v>
      </c>
      <c r="H5" s="809">
        <v>0.3</v>
      </c>
      <c r="I5" s="808" t="s">
        <v>807</v>
      </c>
      <c r="J5" s="809">
        <v>0.5</v>
      </c>
      <c r="K5" s="808" t="s">
        <v>806</v>
      </c>
    </row>
    <row r="6" spans="1:11" x14ac:dyDescent="0.25">
      <c r="B6" s="808" t="s">
        <v>800</v>
      </c>
      <c r="C6" s="808">
        <v>7</v>
      </c>
      <c r="E6" s="808" t="s">
        <v>800</v>
      </c>
      <c r="F6" s="809">
        <v>0.3</v>
      </c>
      <c r="G6" s="808" t="s">
        <v>805</v>
      </c>
      <c r="H6" s="809">
        <v>0.7</v>
      </c>
      <c r="I6" s="808" t="s">
        <v>808</v>
      </c>
      <c r="J6" s="808"/>
      <c r="K6" s="808"/>
    </row>
    <row r="7" spans="1:11" x14ac:dyDescent="0.25">
      <c r="B7" s="808" t="s">
        <v>802</v>
      </c>
      <c r="C7" s="808">
        <v>9</v>
      </c>
      <c r="E7" s="808" t="s">
        <v>802</v>
      </c>
      <c r="F7" s="809">
        <v>1</v>
      </c>
      <c r="G7" s="808" t="s">
        <v>806</v>
      </c>
      <c r="H7" s="808"/>
      <c r="I7" s="808"/>
      <c r="J7" s="808"/>
      <c r="K7" s="808"/>
    </row>
    <row r="9" spans="1:11" x14ac:dyDescent="0.25">
      <c r="B9" t="s">
        <v>809</v>
      </c>
    </row>
    <row r="10" spans="1:11" x14ac:dyDescent="0.25">
      <c r="B10" s="808" t="s">
        <v>783</v>
      </c>
      <c r="C10" s="811">
        <v>10</v>
      </c>
    </row>
    <row r="11" spans="1:11" x14ac:dyDescent="0.25">
      <c r="B11" s="808" t="s">
        <v>807</v>
      </c>
      <c r="C11" s="811">
        <v>8</v>
      </c>
    </row>
    <row r="12" spans="1:11" x14ac:dyDescent="0.25">
      <c r="B12" s="808" t="s">
        <v>808</v>
      </c>
      <c r="C12" s="811">
        <v>2</v>
      </c>
    </row>
    <row r="13" spans="1:11" x14ac:dyDescent="0.25">
      <c r="B13" s="808" t="s">
        <v>806</v>
      </c>
      <c r="C13" s="811">
        <v>15</v>
      </c>
    </row>
    <row r="14" spans="1:11" x14ac:dyDescent="0.25">
      <c r="B14" s="808"/>
      <c r="C14" s="812">
        <f>SUM(C10:C13)</f>
        <v>35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workbookViewId="0">
      <selection activeCell="N35" sqref="N35"/>
    </sheetView>
  </sheetViews>
  <sheetFormatPr defaultColWidth="8.75" defaultRowHeight="14.3" x14ac:dyDescent="0.25"/>
  <cols>
    <col min="1" max="1" width="28.5" customWidth="1"/>
    <col min="2" max="2" width="17.5" customWidth="1"/>
    <col min="3" max="3" width="28.125" customWidth="1"/>
    <col min="4" max="6" width="12.75" customWidth="1"/>
    <col min="7" max="7" width="13.5" customWidth="1"/>
    <col min="8" max="8" width="7.25" customWidth="1"/>
    <col min="9" max="9" width="18.125" customWidth="1"/>
    <col min="10" max="10" width="12.75" customWidth="1"/>
    <col min="11" max="11" width="28.125" bestFit="1" customWidth="1"/>
  </cols>
  <sheetData>
    <row r="1" spans="1:15" x14ac:dyDescent="0.25">
      <c r="A1" s="813" t="s">
        <v>810</v>
      </c>
    </row>
    <row r="2" spans="1:15" x14ac:dyDescent="0.25">
      <c r="A2" t="s">
        <v>811</v>
      </c>
    </row>
    <row r="3" spans="1:15" x14ac:dyDescent="0.25">
      <c r="A3" t="s">
        <v>812</v>
      </c>
    </row>
    <row r="4" spans="1:15" x14ac:dyDescent="0.25">
      <c r="D4" s="814" t="s">
        <v>813</v>
      </c>
      <c r="E4" s="814" t="s">
        <v>283</v>
      </c>
      <c r="F4" s="814" t="s">
        <v>814</v>
      </c>
      <c r="I4" s="815" t="s">
        <v>815</v>
      </c>
      <c r="J4" s="816" t="s">
        <v>816</v>
      </c>
      <c r="K4" s="816" t="s">
        <v>817</v>
      </c>
      <c r="L4" s="817">
        <v>0.25</v>
      </c>
      <c r="M4" s="816" t="s">
        <v>818</v>
      </c>
      <c r="N4" s="816"/>
      <c r="O4" s="816"/>
    </row>
    <row r="5" spans="1:15" x14ac:dyDescent="0.25">
      <c r="A5" t="s">
        <v>819</v>
      </c>
      <c r="D5" s="818">
        <v>800</v>
      </c>
      <c r="E5" s="818">
        <v>1200</v>
      </c>
      <c r="F5" s="818">
        <v>2000</v>
      </c>
    </row>
    <row r="6" spans="1:15" x14ac:dyDescent="0.25">
      <c r="A6" t="s">
        <v>820</v>
      </c>
      <c r="I6" s="819" t="s">
        <v>821</v>
      </c>
      <c r="J6" t="s">
        <v>822</v>
      </c>
      <c r="K6" t="s">
        <v>823</v>
      </c>
      <c r="L6" s="122">
        <v>0.2</v>
      </c>
      <c r="M6" t="s">
        <v>824</v>
      </c>
    </row>
    <row r="7" spans="1:15" x14ac:dyDescent="0.25">
      <c r="A7" t="s">
        <v>825</v>
      </c>
    </row>
    <row r="8" spans="1:15" x14ac:dyDescent="0.25">
      <c r="A8" t="s">
        <v>826</v>
      </c>
    </row>
    <row r="9" spans="1:15" x14ac:dyDescent="0.25">
      <c r="A9" t="s">
        <v>827</v>
      </c>
    </row>
    <row r="10" spans="1:15" x14ac:dyDescent="0.25">
      <c r="A10" t="s">
        <v>828</v>
      </c>
    </row>
    <row r="11" spans="1:15" x14ac:dyDescent="0.25">
      <c r="A11" t="s">
        <v>829</v>
      </c>
    </row>
    <row r="12" spans="1:15" x14ac:dyDescent="0.25">
      <c r="A12" t="s">
        <v>830</v>
      </c>
    </row>
    <row r="14" spans="1:15" x14ac:dyDescent="0.25">
      <c r="A14" t="s">
        <v>831</v>
      </c>
    </row>
    <row r="15" spans="1:15" x14ac:dyDescent="0.25">
      <c r="A15" t="s">
        <v>832</v>
      </c>
    </row>
    <row r="16" spans="1:15" x14ac:dyDescent="0.25">
      <c r="A16" t="s">
        <v>833</v>
      </c>
    </row>
    <row r="18" spans="1:9" x14ac:dyDescent="0.25">
      <c r="A18" t="s">
        <v>834</v>
      </c>
    </row>
    <row r="19" spans="1:9" x14ac:dyDescent="0.25">
      <c r="A19" t="s">
        <v>835</v>
      </c>
    </row>
    <row r="20" spans="1:9" x14ac:dyDescent="0.25">
      <c r="A20" t="s">
        <v>836</v>
      </c>
    </row>
    <row r="21" spans="1:9" x14ac:dyDescent="0.25">
      <c r="A21" s="820" t="s">
        <v>837</v>
      </c>
    </row>
    <row r="22" spans="1:9" x14ac:dyDescent="0.25">
      <c r="A22" s="821" t="s">
        <v>817</v>
      </c>
      <c r="B22" s="820"/>
      <c r="C22" s="820" t="s">
        <v>194</v>
      </c>
      <c r="D22" s="822" t="s">
        <v>838</v>
      </c>
      <c r="E22" s="822" t="s">
        <v>283</v>
      </c>
      <c r="F22" s="822" t="s">
        <v>284</v>
      </c>
      <c r="G22" s="822" t="s">
        <v>285</v>
      </c>
    </row>
    <row r="23" spans="1:9" x14ac:dyDescent="0.25">
      <c r="A23" s="820" t="s">
        <v>839</v>
      </c>
      <c r="B23" s="122"/>
      <c r="C23" s="122"/>
      <c r="D23" s="823">
        <f>D5</f>
        <v>800</v>
      </c>
      <c r="E23" s="823">
        <f>E5</f>
        <v>1200</v>
      </c>
      <c r="F23" s="823">
        <f>F5</f>
        <v>2000</v>
      </c>
      <c r="G23" s="1">
        <v>800</v>
      </c>
    </row>
    <row r="24" spans="1:9" x14ac:dyDescent="0.25">
      <c r="A24" t="s">
        <v>840</v>
      </c>
      <c r="B24" s="122"/>
      <c r="C24" s="824">
        <f>L4*D23</f>
        <v>200</v>
      </c>
      <c r="D24" s="136">
        <f>$L$4*E23</f>
        <v>300</v>
      </c>
      <c r="E24" s="136">
        <f t="shared" ref="E24:F24" si="0">$L$4*F23</f>
        <v>500</v>
      </c>
      <c r="F24" s="136">
        <f t="shared" si="0"/>
        <v>200</v>
      </c>
    </row>
    <row r="25" spans="1:9" x14ac:dyDescent="0.25">
      <c r="A25" t="s">
        <v>841</v>
      </c>
      <c r="D25" s="825">
        <f>C24</f>
        <v>200</v>
      </c>
      <c r="E25" s="136">
        <f>D24</f>
        <v>300</v>
      </c>
      <c r="F25" s="136">
        <f>E24</f>
        <v>500</v>
      </c>
      <c r="I25" s="106" t="s">
        <v>842</v>
      </c>
    </row>
    <row r="26" spans="1:9" ht="14.95" thickBot="1" x14ac:dyDescent="0.3">
      <c r="A26" t="s">
        <v>843</v>
      </c>
      <c r="B26" s="820"/>
      <c r="C26" s="820"/>
      <c r="D26" s="826">
        <f>D23+D24-D25</f>
        <v>900</v>
      </c>
      <c r="E26" s="826">
        <f t="shared" ref="E26:F26" si="1">E23+E24-E25</f>
        <v>1400</v>
      </c>
      <c r="F26" s="826">
        <f t="shared" si="1"/>
        <v>1700</v>
      </c>
    </row>
    <row r="27" spans="1:9" ht="12.1" customHeight="1" thickTop="1" x14ac:dyDescent="0.25">
      <c r="A27" s="820"/>
      <c r="D27" s="823"/>
      <c r="E27" s="823"/>
      <c r="F27" s="823"/>
    </row>
    <row r="28" spans="1:9" x14ac:dyDescent="0.25">
      <c r="A28" s="820" t="s">
        <v>844</v>
      </c>
    </row>
    <row r="29" spans="1:9" x14ac:dyDescent="0.25">
      <c r="A29" s="827" t="s">
        <v>845</v>
      </c>
      <c r="B29" s="822"/>
      <c r="C29" s="822" t="s">
        <v>194</v>
      </c>
      <c r="D29" s="822" t="s">
        <v>838</v>
      </c>
      <c r="E29" s="822" t="s">
        <v>283</v>
      </c>
      <c r="F29" s="822" t="s">
        <v>284</v>
      </c>
    </row>
    <row r="30" spans="1:9" ht="14.95" thickBot="1" x14ac:dyDescent="0.3">
      <c r="A30" t="str">
        <f>A26</f>
        <v>Production FG UNITS</v>
      </c>
      <c r="D30" s="136">
        <f>D26</f>
        <v>900</v>
      </c>
      <c r="E30" s="136">
        <f t="shared" ref="E30:F30" si="2">E26</f>
        <v>1400</v>
      </c>
      <c r="F30" s="136">
        <f t="shared" si="2"/>
        <v>1700</v>
      </c>
    </row>
    <row r="31" spans="1:9" ht="14.95" thickBot="1" x14ac:dyDescent="0.3">
      <c r="A31" t="s">
        <v>846</v>
      </c>
      <c r="B31" s="828">
        <v>2</v>
      </c>
      <c r="C31" s="828"/>
      <c r="D31" s="136">
        <f>D30*$B$31</f>
        <v>1800</v>
      </c>
      <c r="E31" s="136">
        <f>E30*$B$31</f>
        <v>2800</v>
      </c>
      <c r="F31" s="136">
        <f>F30*$B$31</f>
        <v>3400</v>
      </c>
      <c r="G31" s="829" t="s">
        <v>847</v>
      </c>
      <c r="H31" s="830"/>
      <c r="I31" s="831"/>
    </row>
    <row r="32" spans="1:9" x14ac:dyDescent="0.25">
      <c r="A32" t="s">
        <v>848</v>
      </c>
      <c r="B32" s="136"/>
      <c r="C32" s="136">
        <f>20%*D31</f>
        <v>360</v>
      </c>
      <c r="D32" s="136">
        <f>20%*E31</f>
        <v>560</v>
      </c>
      <c r="E32" s="136">
        <f>20%*F31</f>
        <v>680</v>
      </c>
      <c r="F32" s="136"/>
    </row>
    <row r="33" spans="1:11" x14ac:dyDescent="0.25">
      <c r="A33" t="s">
        <v>849</v>
      </c>
      <c r="B33" s="136"/>
      <c r="C33" s="136"/>
      <c r="D33" s="825">
        <f>C32</f>
        <v>360</v>
      </c>
      <c r="E33" s="136">
        <f>D32</f>
        <v>560</v>
      </c>
      <c r="F33" s="136"/>
      <c r="I33" s="106" t="s">
        <v>850</v>
      </c>
    </row>
    <row r="34" spans="1:11" x14ac:dyDescent="0.25">
      <c r="A34" t="s">
        <v>312</v>
      </c>
      <c r="B34" s="136"/>
      <c r="C34" s="136"/>
      <c r="D34" s="136">
        <f>D31+D32-D33</f>
        <v>2000</v>
      </c>
      <c r="E34" s="136">
        <f>E31+E32-E33</f>
        <v>2920</v>
      </c>
      <c r="F34" s="136"/>
    </row>
    <row r="35" spans="1:11" ht="14.95" thickBot="1" x14ac:dyDescent="0.3">
      <c r="A35" s="820" t="s">
        <v>851</v>
      </c>
      <c r="B35" s="832">
        <v>16</v>
      </c>
      <c r="C35" s="832" t="s">
        <v>852</v>
      </c>
      <c r="D35" s="833">
        <f>D34*B35</f>
        <v>32000</v>
      </c>
      <c r="E35" s="833">
        <f>E34*B35</f>
        <v>46720</v>
      </c>
      <c r="F35" s="833"/>
    </row>
    <row r="36" spans="1:11" ht="14.95" thickTop="1" x14ac:dyDescent="0.25"/>
    <row r="37" spans="1:11" x14ac:dyDescent="0.25">
      <c r="A37" s="834" t="s">
        <v>853</v>
      </c>
      <c r="B37" s="835"/>
      <c r="C37" s="835"/>
      <c r="D37" s="835"/>
      <c r="E37" s="835"/>
      <c r="F37" s="835"/>
    </row>
    <row r="38" spans="1:11" ht="14.95" thickBot="1" x14ac:dyDescent="0.3">
      <c r="A38" s="836" t="s">
        <v>854</v>
      </c>
      <c r="B38" s="835"/>
      <c r="C38" s="835"/>
      <c r="D38" s="837" t="s">
        <v>838</v>
      </c>
      <c r="E38" s="837" t="s">
        <v>283</v>
      </c>
      <c r="F38" s="835"/>
    </row>
    <row r="39" spans="1:11" x14ac:dyDescent="0.25">
      <c r="A39" s="835" t="str">
        <f>A26</f>
        <v>Production FG UNITS</v>
      </c>
      <c r="B39" s="835"/>
      <c r="C39" s="835"/>
      <c r="D39" s="838">
        <f>D26</f>
        <v>900</v>
      </c>
      <c r="E39" s="838">
        <f>E26</f>
        <v>1400</v>
      </c>
      <c r="F39" s="835"/>
      <c r="I39" s="839"/>
      <c r="J39" s="840" t="s">
        <v>813</v>
      </c>
      <c r="K39" s="841" t="s">
        <v>283</v>
      </c>
    </row>
    <row r="40" spans="1:11" x14ac:dyDescent="0.25">
      <c r="A40" s="835" t="s">
        <v>351</v>
      </c>
      <c r="B40" s="835">
        <f>12+12</f>
        <v>24</v>
      </c>
      <c r="C40" s="842" t="s">
        <v>352</v>
      </c>
      <c r="D40" s="835">
        <f>D39*B40</f>
        <v>21600</v>
      </c>
      <c r="E40" s="835">
        <f>E39*B40</f>
        <v>33600</v>
      </c>
      <c r="F40" s="835"/>
      <c r="I40" s="843" t="s">
        <v>855</v>
      </c>
      <c r="J40" s="844">
        <f>D41*B41/60</f>
        <v>360</v>
      </c>
      <c r="K40" s="845">
        <f>E41*B41/60</f>
        <v>560</v>
      </c>
    </row>
    <row r="41" spans="1:11" x14ac:dyDescent="0.25">
      <c r="A41" s="835" t="s">
        <v>353</v>
      </c>
      <c r="B41" s="835">
        <v>48</v>
      </c>
      <c r="C41" s="842" t="s">
        <v>354</v>
      </c>
      <c r="D41" s="846">
        <f>D40/B41</f>
        <v>450</v>
      </c>
      <c r="E41" s="846">
        <f>E40/B41</f>
        <v>700</v>
      </c>
      <c r="F41" s="835" t="s">
        <v>856</v>
      </c>
      <c r="I41" s="843" t="s">
        <v>857</v>
      </c>
      <c r="J41" s="844">
        <f>D41*12/60</f>
        <v>90</v>
      </c>
      <c r="K41" s="845">
        <f>E41*12/60</f>
        <v>140</v>
      </c>
    </row>
    <row r="42" spans="1:11" ht="14.95" thickBot="1" x14ac:dyDescent="0.3">
      <c r="A42" s="835" t="s">
        <v>356</v>
      </c>
      <c r="B42" s="835">
        <v>160</v>
      </c>
      <c r="C42" s="842" t="s">
        <v>357</v>
      </c>
      <c r="D42" s="835">
        <f>D41/B42</f>
        <v>2.8125</v>
      </c>
      <c r="E42" s="835">
        <f>E41/B42</f>
        <v>4.375</v>
      </c>
      <c r="F42" s="835"/>
      <c r="I42" s="847" t="s">
        <v>858</v>
      </c>
      <c r="J42" s="848">
        <f>SUM(J40:J41)</f>
        <v>450</v>
      </c>
      <c r="K42" s="849">
        <f>SUM(K40:K41)</f>
        <v>700</v>
      </c>
    </row>
    <row r="43" spans="1:11" x14ac:dyDescent="0.25">
      <c r="A43" s="835" t="s">
        <v>359</v>
      </c>
      <c r="B43" s="835"/>
      <c r="C43" s="842" t="s">
        <v>360</v>
      </c>
      <c r="D43" s="835">
        <v>4</v>
      </c>
      <c r="E43" s="835">
        <v>6</v>
      </c>
      <c r="F43" s="835"/>
    </row>
    <row r="44" spans="1:11" ht="14.95" thickBot="1" x14ac:dyDescent="0.3">
      <c r="A44" s="834" t="s">
        <v>362</v>
      </c>
      <c r="B44" s="850">
        <f>18*1.2</f>
        <v>21.599999999999998</v>
      </c>
      <c r="C44" s="850"/>
      <c r="D44" s="851">
        <f>B44*D43*B42</f>
        <v>13823.999999999998</v>
      </c>
      <c r="E44" s="851">
        <f>B44*E43*B42</f>
        <v>20736</v>
      </c>
      <c r="F44" s="852"/>
    </row>
    <row r="45" spans="1:11" ht="14.95" thickTop="1" x14ac:dyDescent="0.25">
      <c r="B45" s="74"/>
      <c r="C45" s="74"/>
      <c r="D45" s="58"/>
      <c r="E45" s="58"/>
    </row>
    <row r="46" spans="1:11" x14ac:dyDescent="0.25">
      <c r="A46" s="1" t="s">
        <v>859</v>
      </c>
    </row>
    <row r="47" spans="1:11" x14ac:dyDescent="0.25">
      <c r="A47" s="813" t="s">
        <v>860</v>
      </c>
      <c r="D47" s="822" t="s">
        <v>838</v>
      </c>
      <c r="E47" s="822" t="s">
        <v>283</v>
      </c>
    </row>
    <row r="48" spans="1:11" x14ac:dyDescent="0.25">
      <c r="A48" t="str">
        <f>A26</f>
        <v>Production FG UNITS</v>
      </c>
      <c r="D48" s="136">
        <f>D26</f>
        <v>900</v>
      </c>
      <c r="E48" s="136">
        <f>E26</f>
        <v>1400</v>
      </c>
    </row>
    <row r="49" spans="1:5" ht="14.95" thickBot="1" x14ac:dyDescent="0.3">
      <c r="A49" t="s">
        <v>861</v>
      </c>
      <c r="B49" s="853" t="s">
        <v>862</v>
      </c>
      <c r="C49" s="74">
        <f>44000/(D26+E26+F26)</f>
        <v>11</v>
      </c>
      <c r="D49" s="854">
        <f>D48*C49</f>
        <v>9900</v>
      </c>
      <c r="E49" s="854">
        <f>E48*C49</f>
        <v>15400</v>
      </c>
    </row>
    <row r="50" spans="1:5" ht="14.95" thickTop="1" x14ac:dyDescent="0.25"/>
    <row r="51" spans="1:5" x14ac:dyDescent="0.25">
      <c r="A51" s="1" t="s">
        <v>863</v>
      </c>
    </row>
    <row r="52" spans="1:5" x14ac:dyDescent="0.25">
      <c r="A52" s="813" t="s">
        <v>864</v>
      </c>
      <c r="D52" s="822" t="s">
        <v>838</v>
      </c>
      <c r="E52" s="822" t="s">
        <v>283</v>
      </c>
    </row>
    <row r="53" spans="1:5" x14ac:dyDescent="0.25">
      <c r="A53" t="str">
        <f>A26</f>
        <v>Production FG UNITS</v>
      </c>
      <c r="D53" s="136">
        <f>D26</f>
        <v>900</v>
      </c>
      <c r="E53" s="136">
        <f>E26</f>
        <v>1400</v>
      </c>
    </row>
    <row r="54" spans="1:5" x14ac:dyDescent="0.25">
      <c r="A54" t="str">
        <f>A35</f>
        <v>RM Cost</v>
      </c>
      <c r="B54" s="74" t="s">
        <v>865</v>
      </c>
      <c r="C54" s="74"/>
      <c r="D54" s="58">
        <f>B35*D26*B31</f>
        <v>28800</v>
      </c>
      <c r="E54" s="58">
        <f>E31*B35</f>
        <v>44800</v>
      </c>
    </row>
    <row r="55" spans="1:5" x14ac:dyDescent="0.25">
      <c r="A55" t="str">
        <f>A44</f>
        <v>Direct Labor Cost</v>
      </c>
      <c r="D55" s="58">
        <f>D44</f>
        <v>13823.999999999998</v>
      </c>
      <c r="E55" s="58">
        <f>E44</f>
        <v>20736</v>
      </c>
    </row>
    <row r="56" spans="1:5" x14ac:dyDescent="0.25">
      <c r="A56" t="str">
        <f>A49</f>
        <v>Mfg Overhead Cost</v>
      </c>
      <c r="D56" s="58">
        <f>D49</f>
        <v>9900</v>
      </c>
      <c r="E56" s="58">
        <f>E49</f>
        <v>15400</v>
      </c>
    </row>
    <row r="57" spans="1:5" ht="14.95" thickBot="1" x14ac:dyDescent="0.3">
      <c r="A57" t="s">
        <v>864</v>
      </c>
      <c r="D57" s="855">
        <f>SUM(D54:D56)/D53</f>
        <v>58.36</v>
      </c>
      <c r="E57" s="855">
        <f>SUM(E54:E56)/E53</f>
        <v>57.811428571428571</v>
      </c>
    </row>
    <row r="58" spans="1:5" ht="20.25" customHeight="1" thickTop="1" x14ac:dyDescent="0.25">
      <c r="B58" t="s">
        <v>866</v>
      </c>
      <c r="D58" s="74"/>
      <c r="E58" s="74"/>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Office</Application>
  <DocSecurity>0</DocSecurity>
  <ScaleCrop>false</ScaleCrop>
  <HeadingPairs>
    <vt:vector size="2" baseType="variant">
      <vt:variant>
        <vt:lpstr>Worksheets</vt:lpstr>
      </vt:variant>
      <vt:variant>
        <vt:i4>24</vt:i4>
      </vt:variant>
    </vt:vector>
  </HeadingPairs>
  <TitlesOfParts>
    <vt:vector size="24" baseType="lpstr">
      <vt:lpstr>Budget1</vt:lpstr>
      <vt:lpstr>Budget2</vt:lpstr>
      <vt:lpstr>Budget 3.</vt:lpstr>
      <vt:lpstr>Q3 Q2</vt:lpstr>
      <vt:lpstr>Q3 Q3,6</vt:lpstr>
      <vt:lpstr>Q3 Q4</vt:lpstr>
      <vt:lpstr>W1</vt:lpstr>
      <vt:lpstr>W2</vt:lpstr>
      <vt:lpstr>W3</vt:lpstr>
      <vt:lpstr>W4</vt:lpstr>
      <vt:lpstr>W Analysis</vt:lpstr>
      <vt:lpstr>ABC</vt:lpstr>
      <vt:lpstr>ABC 5-39</vt:lpstr>
      <vt:lpstr>Q4 Q1</vt:lpstr>
      <vt:lpstr>Q4 Q2.</vt:lpstr>
      <vt:lpstr>Q4 Q2</vt:lpstr>
      <vt:lpstr>ABC vs Trad OH</vt:lpstr>
      <vt:lpstr>ABM BI</vt:lpstr>
      <vt:lpstr>ABM LL</vt:lpstr>
      <vt:lpstr>ABM Bay</vt:lpstr>
      <vt:lpstr>TC</vt:lpstr>
      <vt:lpstr>TC CFM</vt:lpstr>
      <vt:lpstr>TC quiz</vt:lpstr>
      <vt:lpstr>Budget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Eshan Mukherjee</dc:creator>
  <cp:lastModifiedBy>Eshan Mukherjee</cp:lastModifiedBy>
  <dcterms:created xsi:type="dcterms:W3CDTF">2020-09-10T00:47:19Z</dcterms:created>
  <dcterms:modified xsi:type="dcterms:W3CDTF">2024-07-17T23:53:42Z</dcterms:modified>
</cp:coreProperties>
</file>