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okina\Desktop\"/>
    </mc:Choice>
  </mc:AlternateContent>
  <bookViews>
    <workbookView xWindow="0" yWindow="0" windowWidth="26029" windowHeight="12457" tabRatio="793" activeTab="7"/>
  </bookViews>
  <sheets>
    <sheet name="W1" sheetId="10" r:id="rId1"/>
    <sheet name="W2" sheetId="11" r:id="rId2"/>
    <sheet name="W3" sheetId="12" r:id="rId3"/>
    <sheet name="W4" sheetId="13" r:id="rId4"/>
    <sheet name="Widget Analysis" sheetId="14" r:id="rId5"/>
    <sheet name="5-39 (2)" sheetId="4" r:id="rId6"/>
    <sheet name="Studemeir ABC (2)" sheetId="5" r:id="rId7"/>
    <sheet name="Woodtensils 1 (2)" sheetId="8" r:id="rId8"/>
    <sheet name="Woodtensils 2 (2)" sheetId="9" r:id="rId9"/>
  </sheets>
  <externalReferences>
    <externalReference r:id="rId10"/>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2" i="11" l="1"/>
  <c r="F22" i="11" s="1"/>
  <c r="E19" i="11"/>
  <c r="F19" i="11" s="1"/>
  <c r="E16" i="11"/>
  <c r="F16" i="11" s="1"/>
  <c r="J15" i="11"/>
  <c r="H15" i="11"/>
  <c r="J14" i="11"/>
  <c r="H14" i="11"/>
  <c r="D27" i="10"/>
  <c r="F27" i="10" s="1"/>
  <c r="G27" i="10" s="1"/>
  <c r="G28" i="10" s="1"/>
  <c r="G26" i="10"/>
  <c r="G25" i="10"/>
  <c r="E22" i="10"/>
  <c r="G22" i="10" s="1"/>
  <c r="D22" i="10"/>
  <c r="G21" i="10"/>
  <c r="G20" i="10"/>
  <c r="G18" i="10"/>
  <c r="G17" i="10"/>
  <c r="G16" i="10"/>
  <c r="G15" i="10"/>
  <c r="H16" i="11" l="1"/>
  <c r="H17" i="11" s="1"/>
  <c r="J16" i="11"/>
  <c r="J17" i="11" s="1"/>
  <c r="J19" i="11"/>
  <c r="J20" i="11" s="1"/>
  <c r="H19" i="11"/>
  <c r="H20" i="11" s="1"/>
  <c r="H22" i="11"/>
  <c r="H23" i="11" s="1"/>
  <c r="J22" i="11"/>
  <c r="J23" i="11" s="1"/>
  <c r="G23" i="10"/>
  <c r="H62" i="9"/>
  <c r="G62" i="9"/>
  <c r="I62" i="9" s="1"/>
  <c r="H61" i="9"/>
  <c r="G61" i="9"/>
  <c r="I61" i="9" s="1"/>
  <c r="J60" i="9"/>
  <c r="I60" i="9"/>
  <c r="K60" i="9" s="1"/>
  <c r="H60" i="9"/>
  <c r="G60" i="9"/>
  <c r="J33" i="9"/>
  <c r="I33" i="9"/>
  <c r="H33" i="9"/>
  <c r="B28" i="9"/>
  <c r="F27" i="9"/>
  <c r="E27" i="9"/>
  <c r="D27" i="9"/>
  <c r="B27" i="9"/>
  <c r="F26" i="9"/>
  <c r="E26" i="9"/>
  <c r="D26" i="9"/>
  <c r="B26" i="9"/>
  <c r="F25" i="9"/>
  <c r="E25" i="9"/>
  <c r="D25" i="9"/>
  <c r="B25" i="9"/>
  <c r="J62" i="9" s="1"/>
  <c r="F24" i="9"/>
  <c r="E24" i="9"/>
  <c r="D24" i="9"/>
  <c r="B24" i="9"/>
  <c r="J61" i="9" s="1"/>
  <c r="F23" i="9"/>
  <c r="E23" i="9"/>
  <c r="D23" i="9"/>
  <c r="B23" i="9"/>
  <c r="B32" i="8"/>
  <c r="E31" i="8"/>
  <c r="D31" i="8"/>
  <c r="B31" i="8"/>
  <c r="E30" i="8"/>
  <c r="D30" i="8"/>
  <c r="B30" i="8"/>
  <c r="E29" i="8"/>
  <c r="D29" i="8"/>
  <c r="C29" i="8"/>
  <c r="B29" i="8"/>
  <c r="E28" i="8"/>
  <c r="D28" i="8"/>
  <c r="C28" i="8"/>
  <c r="B28" i="8"/>
  <c r="E27" i="8"/>
  <c r="D27" i="8"/>
  <c r="C27" i="8"/>
  <c r="B27" i="8"/>
  <c r="B26" i="8"/>
  <c r="G12" i="8"/>
  <c r="F12" i="8"/>
  <c r="E12" i="8"/>
  <c r="D12" i="8"/>
  <c r="C12" i="8"/>
  <c r="H11" i="8"/>
  <c r="C31" i="8" s="1"/>
  <c r="H10" i="8"/>
  <c r="C30" i="8" s="1"/>
  <c r="H9" i="8"/>
  <c r="H12" i="8" s="1"/>
  <c r="C32" i="8" s="1"/>
  <c r="H8" i="8"/>
  <c r="H7" i="8"/>
  <c r="J31" i="5"/>
  <c r="I31" i="5"/>
  <c r="H31" i="5"/>
  <c r="K31" i="5" s="1"/>
  <c r="J25" i="5"/>
  <c r="J32" i="5" s="1"/>
  <c r="J33" i="5" s="1"/>
  <c r="I25" i="5"/>
  <c r="I32" i="5" s="1"/>
  <c r="I33" i="5" s="1"/>
  <c r="H25" i="5"/>
  <c r="H32" i="5" s="1"/>
  <c r="H33" i="5" s="1"/>
  <c r="J24" i="5"/>
  <c r="I24" i="5"/>
  <c r="H24" i="5"/>
  <c r="D24" i="5"/>
  <c r="C24" i="5"/>
  <c r="B24" i="5"/>
  <c r="J23" i="5"/>
  <c r="I23" i="5"/>
  <c r="H23" i="5"/>
  <c r="D23" i="5"/>
  <c r="D25" i="5" s="1"/>
  <c r="C23" i="5"/>
  <c r="C25" i="5" s="1"/>
  <c r="B23" i="5"/>
  <c r="B25" i="5" s="1"/>
  <c r="D24" i="4"/>
  <c r="D23" i="4"/>
  <c r="L22" i="4"/>
  <c r="J22" i="4"/>
  <c r="H22" i="4"/>
  <c r="G22" i="4"/>
  <c r="L17" i="4"/>
  <c r="J17" i="4"/>
  <c r="H17" i="4"/>
  <c r="G17" i="4"/>
  <c r="C14" i="4"/>
  <c r="O13" i="4"/>
  <c r="N13" i="4"/>
  <c r="N12" i="4"/>
  <c r="O12" i="4"/>
  <c r="N11" i="4"/>
  <c r="O11" i="4"/>
  <c r="E5" i="4"/>
  <c r="E4" i="4"/>
  <c r="K61" i="9" l="1"/>
  <c r="K63" i="9" s="1"/>
  <c r="K67" i="9" s="1"/>
  <c r="K62" i="9"/>
  <c r="B26" i="5"/>
  <c r="E26" i="5" s="1"/>
  <c r="C26" i="5"/>
  <c r="C27" i="5" s="1"/>
  <c r="C28" i="5" s="1"/>
  <c r="D26" i="5"/>
  <c r="D27" i="5" s="1"/>
  <c r="D28" i="5" s="1"/>
  <c r="O14" i="4"/>
  <c r="I39" i="9" l="1"/>
  <c r="I31" i="9"/>
  <c r="I34" i="9"/>
  <c r="H39" i="9"/>
  <c r="H31" i="9"/>
  <c r="H34" i="9"/>
  <c r="G36" i="8"/>
  <c r="H36" i="8"/>
  <c r="I36" i="8"/>
  <c r="B27" i="5"/>
  <c r="B28" i="5" s="1"/>
  <c r="J39" i="9" l="1"/>
  <c r="J31" i="9"/>
  <c r="J34" i="9"/>
  <c r="M27" i="4"/>
</calcChain>
</file>

<file path=xl/sharedStrings.xml><?xml version="1.0" encoding="utf-8"?>
<sst xmlns="http://schemas.openxmlformats.org/spreadsheetml/2006/main" count="429" uniqueCount="330">
  <si>
    <t>Problem 5-33</t>
  </si>
  <si>
    <t>Paint Supplies</t>
  </si>
  <si>
    <t>Carpet</t>
  </si>
  <si>
    <t>Floor Products</t>
  </si>
  <si>
    <t>Sales</t>
  </si>
  <si>
    <t>COGS</t>
  </si>
  <si>
    <t>Store support expenses</t>
  </si>
  <si>
    <t>of revenues</t>
  </si>
  <si>
    <t>Activity (cost driver)</t>
  </si>
  <si>
    <t>Order processing (number of purchase orders)</t>
  </si>
  <si>
    <t>Receiving (number of deliveries)</t>
  </si>
  <si>
    <t>Customer support (hours required per sale)</t>
  </si>
  <si>
    <t>Activity cost rates</t>
  </si>
  <si>
    <t>Order processing</t>
  </si>
  <si>
    <t>per purchase order</t>
  </si>
  <si>
    <t>Receiving</t>
  </si>
  <si>
    <t>per delivery</t>
  </si>
  <si>
    <t>Customer support</t>
  </si>
  <si>
    <t>per hour</t>
  </si>
  <si>
    <t>1. Prepare a product line profitability report</t>
  </si>
  <si>
    <t>Product line profitability - Current system</t>
  </si>
  <si>
    <t>Product line profitability - Activity-Based Costing</t>
  </si>
  <si>
    <t>Gross Margin</t>
  </si>
  <si>
    <t>Store Support Expenses</t>
  </si>
  <si>
    <t>Operating Income</t>
  </si>
  <si>
    <t>Operating Margin %</t>
  </si>
  <si>
    <t xml:space="preserve">     Order Processing</t>
  </si>
  <si>
    <t xml:space="preserve">     Receiving</t>
  </si>
  <si>
    <t xml:space="preserve">     Customer Support</t>
  </si>
  <si>
    <t>Operating Margins</t>
  </si>
  <si>
    <t>Total Store Support</t>
  </si>
  <si>
    <t>Traditional OH Allocation</t>
  </si>
  <si>
    <t>Activity-Based Costing</t>
  </si>
  <si>
    <r>
      <t xml:space="preserve">Problem 5-39 </t>
    </r>
    <r>
      <rPr>
        <sz val="11"/>
        <color theme="1"/>
        <rFont val="Calibri"/>
        <family val="2"/>
        <scheme val="minor"/>
      </rPr>
      <t>Information given in the problem is highlighted in blue</t>
    </r>
  </si>
  <si>
    <t>Safe-V Product</t>
  </si>
  <si>
    <t>Safe-T Product</t>
  </si>
  <si>
    <t>Total</t>
  </si>
  <si>
    <t>Steps in Activity-Based Costing</t>
  </si>
  <si>
    <t>Batches</t>
  </si>
  <si>
    <t>Identify the resources used and find their costs.</t>
  </si>
  <si>
    <t>Units</t>
  </si>
  <si>
    <t>Identify activities.</t>
  </si>
  <si>
    <t>Finishing hours, per unit</t>
  </si>
  <si>
    <t>Determine resource drivers.</t>
  </si>
  <si>
    <t>Packaging hours, per unit</t>
  </si>
  <si>
    <t>Divide/apportion the resource costs across the activities using resource drivers.</t>
  </si>
  <si>
    <t>Materials per unit</t>
  </si>
  <si>
    <t>Identify the activity cost drivers and counts.</t>
  </si>
  <si>
    <t>Activity 1</t>
  </si>
  <si>
    <t>Activity 2</t>
  </si>
  <si>
    <t>Activity 3</t>
  </si>
  <si>
    <t>Activity 4</t>
  </si>
  <si>
    <t>Determine the rate per unit of activity driver for each of activities.</t>
  </si>
  <si>
    <t>Resources - factory conversion costs</t>
  </si>
  <si>
    <t>Resource Driver</t>
  </si>
  <si>
    <t>Job setup</t>
  </si>
  <si>
    <t>Assembly</t>
  </si>
  <si>
    <t>Inspecting &amp; Finishing</t>
  </si>
  <si>
    <t>Packaging</t>
  </si>
  <si>
    <t>total</t>
  </si>
  <si>
    <t>Assign costs to cost object(s) based on how many "activity driver units" each consumed.</t>
  </si>
  <si>
    <t>Salaries</t>
  </si>
  <si>
    <t>% time spent</t>
  </si>
  <si>
    <t>Supplies</t>
  </si>
  <si>
    <t>% usage</t>
  </si>
  <si>
    <t>Factory expense</t>
  </si>
  <si>
    <t>Total Activity Cost</t>
  </si>
  <si>
    <t>Activity Cost Driver</t>
  </si>
  <si>
    <t># of batches</t>
  </si>
  <si>
    <t># of units</t>
  </si>
  <si>
    <t># of finishing hours</t>
  </si>
  <si>
    <t># of packaging hours</t>
  </si>
  <si>
    <t>NEED TOTAL COUNTS (both products) =&gt;</t>
  </si>
  <si>
    <t>Activity Rates</t>
  </si>
  <si>
    <t>per batch</t>
  </si>
  <si>
    <t>per unit</t>
  </si>
  <si>
    <t>Direct Materials</t>
  </si>
  <si>
    <t>Labor + Manufacturing Overhead</t>
  </si>
  <si>
    <t>Total Mfg Costs</t>
  </si>
  <si>
    <t>Per Unit</t>
  </si>
  <si>
    <t>Total OH</t>
  </si>
  <si>
    <t>Studemeir Problem - Activity-Based Costing</t>
  </si>
  <si>
    <t>Exhibit 4</t>
  </si>
  <si>
    <t>Exhibit 7: REVISED Activities, Drivers, &amp; Driver Quantities by Mfg Ovh Department for FY2020</t>
  </si>
  <si>
    <t># of add'l</t>
  </si>
  <si>
    <t>activites</t>
  </si>
  <si>
    <t>Total Dep't $</t>
  </si>
  <si>
    <t>Mfg Ovh Department</t>
  </si>
  <si>
    <t>Activity Driver</t>
  </si>
  <si>
    <t>Frequency Note</t>
  </si>
  <si>
    <t>Spoons</t>
  </si>
  <si>
    <t>Knives</t>
  </si>
  <si>
    <t>Forks</t>
  </si>
  <si>
    <t>for Spoons</t>
  </si>
  <si>
    <t>Machine Maint &amp; Repair</t>
  </si>
  <si>
    <t># of Equip Cleanings</t>
  </si>
  <si>
    <t>1x per wk for 50 wks x 3 Mach (1/Prod Line)</t>
  </si>
  <si>
    <t>Quality / Inspection</t>
  </si>
  <si>
    <t># Inspections</t>
  </si>
  <si>
    <t>2% of every wk's prod'n</t>
  </si>
  <si>
    <t>Sourcing / Purchasing</t>
  </si>
  <si>
    <t>Purch Orders</t>
  </si>
  <si>
    <t>1 RM Purch Ord per 1000 packs mfg</t>
  </si>
  <si>
    <t>Mat'l Planning &amp; Prod'n Control</t>
  </si>
  <si>
    <t># Packs Mfg'd &amp; Shipped</t>
  </si>
  <si>
    <t># Packs Mfg &amp; Shipped</t>
  </si>
  <si>
    <t>Gen'l Mfg Ovh</t>
  </si>
  <si>
    <t># Mach Cleanings + # Inspect</t>
  </si>
  <si>
    <t># Mach Cleanings + Prod Inspections</t>
  </si>
  <si>
    <t>(Mgmt time consumed with Equip &amp; Inspections)</t>
  </si>
  <si>
    <t>Case Questions:</t>
  </si>
  <si>
    <t>(5)</t>
  </si>
  <si>
    <t>Using the overhead department spending in Exhibit 4 and the revised ABC operating activity quantities in Exhibit 7, recalcuate the annual activity rates ($ per specific activity)</t>
  </si>
  <si>
    <t>for each department, and</t>
  </si>
  <si>
    <t>(6)</t>
  </si>
  <si>
    <t>Using the department activity rates just calculated, convert them into a cost per pack for each of the three products: spoons, knives, and forks.</t>
  </si>
  <si>
    <t>(7)</t>
  </si>
  <si>
    <t>Total the department cost per pack for each of the 5 overhead departments for each product to compute their overall ABC cost per pack</t>
  </si>
  <si>
    <t>(8)</t>
  </si>
  <si>
    <t>Compare these revised ABC overhead costs with the cost per pack using direct labor hours foun din Exhibit 5 and Sara's original ABC cost per pack computations.</t>
  </si>
  <si>
    <t>(a) How do they compare?</t>
  </si>
  <si>
    <t>(b) Did they change and if so, by how much?</t>
  </si>
  <si>
    <t>( c) What conclusions can you draw?</t>
  </si>
  <si>
    <t># Act Driver</t>
  </si>
  <si>
    <t>$ / Driver</t>
  </si>
  <si>
    <t>SP $ / Pack</t>
  </si>
  <si>
    <t>KN $ / Pack</t>
  </si>
  <si>
    <t>Fork # / Pack</t>
  </si>
  <si>
    <t>Total Mfg Ovh</t>
  </si>
  <si>
    <t>Fixed Mfg Ovh per pack using Revised ABC</t>
  </si>
  <si>
    <t>Fix Mfg Ovh alloc based on DL Hrs (per Exhibit 5)</t>
  </si>
  <si>
    <t>Difference: Revised ABC vs DL Hours</t>
  </si>
  <si>
    <t>Fix Mfg Ovh alloc based on original ABC analysis</t>
  </si>
  <si>
    <t>Difference: Revised ABC vs Original ABC</t>
  </si>
  <si>
    <t>Original Gross Margin using DL hrs for Ovh</t>
  </si>
  <si>
    <t>Adjusted Gross Margin using Revised ABC</t>
  </si>
  <si>
    <t>(9)</t>
  </si>
  <si>
    <t>Why do you think Sara was not given the real operating activities and problems (as Selina had conveyed) from the department reviews Sara held with each department supervisor?</t>
  </si>
  <si>
    <t>Possible Reasons:</t>
  </si>
  <si>
    <t>a)</t>
  </si>
  <si>
    <t xml:space="preserve">Sara was the person who determined Black Walnut was an acceptable wood substitute for Bamboo and </t>
  </si>
  <si>
    <t>b)</t>
  </si>
  <si>
    <t>She apparently was the one who selected the Black Walnut supplier</t>
  </si>
  <si>
    <t>c)</t>
  </si>
  <si>
    <t>The senior management team could have been reluctant to tell Sara she was the major cause of all the production problems as the supplier and the poor quality wood it supplied</t>
  </si>
  <si>
    <t>were the main reasons for the $1,467,600 increase of manufacturing ovh costs in 2020</t>
  </si>
  <si>
    <t>d)</t>
  </si>
  <si>
    <t>Other reasons for senior management not telling Sara:</t>
  </si>
  <si>
    <t xml:space="preserve"> - Fear of Sara's annoyance or outrage at not being told sooner.  Supplier and quality problems and the manufacturing problems they caused were occuring throughout 2020.</t>
  </si>
  <si>
    <t xml:space="preserve"> - Fear that if problems were identified and resolved, job losses could result.</t>
  </si>
  <si>
    <t xml:space="preserve"> - Their extraordinary efforts to keep manufacturing operational and successfully meet all customer orders went unrecognized.</t>
  </si>
  <si>
    <t xml:space="preserve"> - 2020 Sales Growth from 2019 was 102.5%</t>
  </si>
  <si>
    <t>Potential Cost Savings</t>
  </si>
  <si>
    <t xml:space="preserve"> - While manufacturing overhead costs are listed as fixed, it is clear that much of the overhead cost increase in Machine Maint, Inspection, and Purchasing</t>
  </si>
  <si>
    <t>were due to supplier and wood quality problems.</t>
  </si>
  <si>
    <t xml:space="preserve"> - If the supplier and wood quality problems could be resolved, now that they were identified by Selina, cost savings could be as much as:</t>
  </si>
  <si>
    <t>unnecessary</t>
  </si>
  <si>
    <t>Potential svngs</t>
  </si>
  <si>
    <t>spoon activity</t>
  </si>
  <si>
    <t>% xtra</t>
  </si>
  <si>
    <t>total dep't $</t>
  </si>
  <si>
    <t>if eliminated</t>
  </si>
  <si>
    <t>Targeted Improvements</t>
  </si>
  <si>
    <t>% Rev</t>
  </si>
  <si>
    <t>2020 Op Profit</t>
  </si>
  <si>
    <t>Adj 2020 Op Profit</t>
  </si>
  <si>
    <t>Caution</t>
  </si>
  <si>
    <t xml:space="preserve"> - In spite of the manufacturing problems caused by the supplier and the quality of wood they supplied, sales grew by $4.92m or 102.5% in 2020</t>
  </si>
  <si>
    <t xml:space="preserve"> - Sara, after resolving the supplier and wood quality problems, would be wise to not drastically reduce the number of employees in these overhead support functions</t>
  </si>
  <si>
    <t>as they were the reasons manufacturing was able to fulfil all customer orders and achieve dramatic sales growth.</t>
  </si>
  <si>
    <t xml:space="preserve"> - Significant employee recognition coupled with an appropriate bonus or additional compensation would benefit both employees and the company</t>
  </si>
  <si>
    <t xml:space="preserve"> - If Sara determines sales growth will continue, employees who are no longer needed in Maintenance, Inspection and Purchasing might be redeployed to other areas instead of being terminated.</t>
  </si>
  <si>
    <t>ABC Best Practices</t>
  </si>
  <si>
    <t xml:space="preserve"> - Review the ABC Best Practices PPT.  Getting Manufacturing Support Organizations to describe and quantify all their activities, including those deemed non-value added is key to both ABC</t>
  </si>
  <si>
    <t>and ensuring manufacturing operates as efficiently as possible.</t>
  </si>
  <si>
    <t>Exhibit 4: Manufacturing Fixed Overhead $ FY2020, by major cost component</t>
  </si>
  <si>
    <t>Exhibit 6: Activities, Drivers, &amp; Driver Quantities by Mfg Ovh Department for FY2020</t>
  </si>
  <si>
    <t>15% of salary</t>
  </si>
  <si>
    <t>Dep't Space</t>
  </si>
  <si>
    <t>#</t>
  </si>
  <si>
    <t>$</t>
  </si>
  <si>
    <t>Fringe</t>
  </si>
  <si>
    <t>Parts / SW</t>
  </si>
  <si>
    <t>Alloc based</t>
  </si>
  <si>
    <t>Employees</t>
  </si>
  <si>
    <t>Salary</t>
  </si>
  <si>
    <t>Benefits</t>
  </si>
  <si>
    <t>Licenses</t>
  </si>
  <si>
    <t>on $10/SQFT</t>
  </si>
  <si>
    <t>Dep't $</t>
  </si>
  <si>
    <t># Purch Orders</t>
  </si>
  <si>
    <t># DL Hours</t>
  </si>
  <si>
    <t>Total Fixed Mfg Ovh</t>
  </si>
  <si>
    <t>(1)</t>
  </si>
  <si>
    <t>Using the overhead department spending in Exhibit 4 and the operating activity quantities in Exhibit 6, calculate the annual activity rates</t>
  </si>
  <si>
    <t>($ per specific activity) for each department and</t>
  </si>
  <si>
    <t>(2)</t>
  </si>
  <si>
    <t>Using the department activity rates just calculated, convert them into a cost per pack for each of the three products, spoons, knives, and forks</t>
  </si>
  <si>
    <t>(3)</t>
  </si>
  <si>
    <t>Total the depart cost per pack for each of the 5 overhead departments for each product to compute their overall ABC cost per pack.</t>
  </si>
  <si>
    <t>(4)</t>
  </si>
  <si>
    <t xml:space="preserve">Compare these ABC overhead costs with the overhead cost per pack using direct labor hours found in Exhbit 5. </t>
  </si>
  <si>
    <t>a) How do they compare?</t>
  </si>
  <si>
    <t>b) Did they change&gt; and if so, by how much?</t>
  </si>
  <si>
    <t>c) What conclusions can you draw?</t>
  </si>
  <si>
    <t>Difference</t>
  </si>
  <si>
    <t>Groups 1 &amp; 6</t>
  </si>
  <si>
    <t>W1.</t>
  </si>
  <si>
    <t>Widget.com is a company that produces and sells widgets.</t>
  </si>
  <si>
    <t xml:space="preserve">They currently only make one homogenious type of widget.  </t>
  </si>
  <si>
    <t>Widgets are made partially by hand and partially by machine.</t>
  </si>
  <si>
    <t>Each Widget requires 2kg of materials, 1 labor hour and 0.5 machine hours</t>
  </si>
  <si>
    <t>Material cost: $5/kg; Labor is $10/hr.</t>
  </si>
  <si>
    <t>The Company expects to incur $100,000 of manufacturing overhead this year and produce 10,000 widgets</t>
  </si>
  <si>
    <t>What is the cost of one unit of each Widget?</t>
  </si>
  <si>
    <t>What allocation method did you use? Why?</t>
  </si>
  <si>
    <t>1 unit</t>
  </si>
  <si>
    <t>DM</t>
  </si>
  <si>
    <t>DL</t>
  </si>
  <si>
    <t>MOH # units as base</t>
  </si>
  <si>
    <t>MOH DL hrs as base</t>
  </si>
  <si>
    <t>MOH MHrs as base</t>
  </si>
  <si>
    <t>per Mhr</t>
  </si>
  <si>
    <t>Groups 2 &amp; 7</t>
  </si>
  <si>
    <t>W2.</t>
  </si>
  <si>
    <t>Widget.com is a company that produces and sells two different products: Widgets &amp; Gizmos.</t>
  </si>
  <si>
    <t>Both widgets and gizmos are made partially by hand and partially by machine.  Each widget</t>
  </si>
  <si>
    <t>requires 2kg of material, 1 labor hour, and 0.5 machine hours.  Gizmos are a little more</t>
  </si>
  <si>
    <t xml:space="preserve">sophisticated and require 3kg of materials, 1.5 hours of labor and 1 machine hour. The </t>
  </si>
  <si>
    <t>material cost $5/kg and labor is paid $10/hr.</t>
  </si>
  <si>
    <t>The company expects to incur $100,000 of manufacting overhead this year and produce 7,000 widgets and 3,000 gizmos.</t>
  </si>
  <si>
    <t>What is the cost of one unit of each Widget and each Gizmo?</t>
  </si>
  <si>
    <t>Which allocation method did you use? Why?</t>
  </si>
  <si>
    <t>TOTAL Cost</t>
  </si>
  <si>
    <t>TOTAL Quantity</t>
  </si>
  <si>
    <t>OH Allocation Rate</t>
  </si>
  <si>
    <t>Widget</t>
  </si>
  <si>
    <t>Gizmo</t>
  </si>
  <si>
    <t>MOH DLhrs as base</t>
  </si>
  <si>
    <t>per DL hr</t>
  </si>
  <si>
    <t>MOH Mhrs as base</t>
  </si>
  <si>
    <t>MOH Units as base</t>
  </si>
  <si>
    <t>Groups 3 &amp; 8</t>
  </si>
  <si>
    <t>W3.</t>
  </si>
  <si>
    <t>Widget.com is a company that produces and sells three different products: Widgets, Gizmos, and Doodads.</t>
  </si>
  <si>
    <t>Both Widgets and Gizmos are made partially by hand and partially by machine, while doodads are exclusively made by hand.</t>
  </si>
  <si>
    <t>Each Widget requires 2kg of materials, 1 labor hour and 0.5 machine hours.</t>
  </si>
  <si>
    <t>Gizmos are a little more sophisticated and require 3kg of materials, 1.5 hours of labor and 1 machine hour.</t>
  </si>
  <si>
    <t>Doodads also require 3kg of materials and take 2.5 hours of labor.</t>
  </si>
  <si>
    <t xml:space="preserve">The material cost $5/kg and labor is paid $10/hour.  </t>
  </si>
  <si>
    <t>The company expects to incure $100,000 of overhead this yearand product 6,000 widgets, 3,000 gizmos, and 1,000 doodads.</t>
  </si>
  <si>
    <t>What is the cost of one unit of each of the three products?</t>
  </si>
  <si>
    <t>Doodad</t>
  </si>
  <si>
    <t>Groups 4 &amp; 9</t>
  </si>
  <si>
    <t>W4.</t>
  </si>
  <si>
    <t>Widget.com is a company that produces and sells four different products: Widgets, Gizmos, Doodads, and Thingamabobs.</t>
  </si>
  <si>
    <t>Both Widgets, Gizmos, &amp; Thingamabobs are made partially by hand and partially by machine.</t>
  </si>
  <si>
    <t>Doodads are exclusively made by hand.</t>
  </si>
  <si>
    <t>Below is a table showing the resource requirements of each product on a per unit basis:</t>
  </si>
  <si>
    <t>Widgets</t>
  </si>
  <si>
    <t>Gizmos</t>
  </si>
  <si>
    <t>Doodads</t>
  </si>
  <si>
    <t>Thingamabob</t>
  </si>
  <si>
    <t>Material / unit</t>
  </si>
  <si>
    <t>2kg</t>
  </si>
  <si>
    <t>3kg</t>
  </si>
  <si>
    <t>Material Cost / kg</t>
  </si>
  <si>
    <t>Labor Hours / Unit</t>
  </si>
  <si>
    <t>Machine Hrs / Unit</t>
  </si>
  <si>
    <t>Annual Production</t>
  </si>
  <si>
    <t>Labor for the widgets gizmos and doodads is paid $10/hour, however the production of the thingamabobs requires a special skill set</t>
  </si>
  <si>
    <t xml:space="preserve">that is a bit more resource intensive. </t>
  </si>
  <si>
    <t>Widget, Gizmo, Doodad $DL/hour</t>
  </si>
  <si>
    <t>Thingamabob $DL/hour</t>
  </si>
  <si>
    <t>The company expects to incure $100,000 of overhead this yearand product 5,000 widgets, 3,000 gizmos, 1,000 doodads, and 1,000 Thingamabobs</t>
  </si>
  <si>
    <t>What is the cost of one unit of each of the products?</t>
  </si>
  <si>
    <t>Groups 5 &amp; 10</t>
  </si>
  <si>
    <t>Answer these 4 questions and be prepared to discuss in class:</t>
  </si>
  <si>
    <t xml:space="preserve">In these four example, up to 4 different volume drivers were presented </t>
  </si>
  <si>
    <t xml:space="preserve">Volume Drivers are: </t>
  </si>
  <si>
    <t>Units Manufactured</t>
  </si>
  <si>
    <t>Direct Labor Hours</t>
  </si>
  <si>
    <t>Machine Hours</t>
  </si>
  <si>
    <t>Direct Labor Dollars</t>
  </si>
  <si>
    <t>1)</t>
  </si>
  <si>
    <t>Which of them was the "best" or most appropriate to use to fairly allocated shared overhead costs?</t>
  </si>
  <si>
    <t>Explain.</t>
  </si>
  <si>
    <t>Group 6 tab</t>
  </si>
  <si>
    <t>When only one product was made, all three ovh allocation methods produced the same unit cost result.  Therefore each of them was appropriate to allocate overhead</t>
  </si>
  <si>
    <t>Group 7 tab</t>
  </si>
  <si>
    <t>Widgets &amp; Gizmos</t>
  </si>
  <si>
    <t>Overhead per unit varied significantly over the three allocation methods.  The "best" method would be the one that assigns overhead using the volume driver that "best" consumes or causes</t>
  </si>
  <si>
    <t>the overhead to increase with an increase in use</t>
  </si>
  <si>
    <t>If overhead was driven mostly by the use of machinery, then machine hours should be used to allocate overhead.  If direct labor hours drove or consumed the overhead, then DL hours should be used.</t>
  </si>
  <si>
    <t>Group 8 tab</t>
  </si>
  <si>
    <t>Widgets, Gizmos, &amp; Doodads</t>
  </si>
  <si>
    <t>Allocating overhead by units producted an overall unit cost of $30, $40, &amp; $50 for Widgets, Gizmos, &amp; Doodads, respectively.</t>
  </si>
  <si>
    <t>The cost differences were all caused by the amounts of material and labor used in each product.  Overhead cost / unit was $10 for all three products</t>
  </si>
  <si>
    <t>Allocating overhead based on direct labor hours, produced an overhead cost per unit of $7.69, $11.54, and $19.23 for Widgets, Gizmos, and Doodads, respectively.</t>
  </si>
  <si>
    <t>The more direct labor is used to make a product, the more overhead that product gets allocated.</t>
  </si>
  <si>
    <t>Thus the widget unit cost decreases (vs. when overhead was allocated based on units), while Gizmos and Doodad unit cost increases.</t>
  </si>
  <si>
    <t xml:space="preserve">If machine hours is used to allocate overhead, a problem is immediately evident.  Namely, doodads are produced without using any machines.  </t>
  </si>
  <si>
    <t>Therefore they do not incur any machine hours in production.  Using machine hours to allocate overhead to the three products would be a poor choice.</t>
  </si>
  <si>
    <t>Group 9 tab</t>
  </si>
  <si>
    <t>Widgets, Gizmos, Doodads, &amp; Thingamabobs</t>
  </si>
  <si>
    <t>Doodads continue not to use machines (and machine hours) during their production, so machine hours would not be a useful overhead allocation technique.</t>
  </si>
  <si>
    <t>Meanwhile, Thingamabobs require more costly labor during their production.</t>
  </si>
  <si>
    <t>Therefore, using direct labor $ and not direct labor hours to allocate overhead might be the most appropriate choice.</t>
  </si>
  <si>
    <t>2)</t>
  </si>
  <si>
    <t>Did the "best" or most appropriate volume driver change as the production volume of a particular product changed?</t>
  </si>
  <si>
    <t>In all 4 examples, overhead of $100,000 did not change.  It was also unclear whether this $100,000 of overhead would increase if production volumes increased.</t>
  </si>
  <si>
    <t>It seems likely some amount of overhead would increase with an increase in production volume, but it cannot be computed with the few facts stated.</t>
  </si>
  <si>
    <r>
      <rPr>
        <b/>
        <i/>
        <u/>
        <sz val="12"/>
        <color theme="1"/>
        <rFont val="Calibri"/>
        <family val="2"/>
        <scheme val="minor"/>
      </rPr>
      <t xml:space="preserve">Overhead per unit </t>
    </r>
    <r>
      <rPr>
        <sz val="12"/>
        <color theme="1"/>
        <rFont val="Calibri"/>
        <family val="2"/>
        <scheme val="minor"/>
      </rPr>
      <t>did change as the products requiring more of that volume driver changed.  Which means products which require more of a specific volume driver</t>
    </r>
  </si>
  <si>
    <t>will be assigned more overhead if that volume driver is used as the single overhead allocation rate.</t>
  </si>
  <si>
    <t>3)</t>
  </si>
  <si>
    <t>Did the "best" or most appropriate volume driver change as the number of products manufactured change?</t>
  </si>
  <si>
    <t>As the number of products manufactured increased, the differences in the production processes used to make each product became apparent.</t>
  </si>
  <si>
    <t>Each product required different levels of material, effort (labor), and machine use.  One product is manufactured totally by hand.</t>
  </si>
  <si>
    <t>As a result, it made determining the best overhead allocation technique to use more difficult.</t>
  </si>
  <si>
    <t>4)</t>
  </si>
  <si>
    <t>What is the "best" way to select a volume cost driver to allocated shared overhead to products manufactured?</t>
  </si>
  <si>
    <t>When all products use the same or similar production processes, and take or use similar amounts of materials and labor,</t>
  </si>
  <si>
    <t>allocating overhead based on units produced is easy and probably the most appropriate.</t>
  </si>
  <si>
    <t xml:space="preserve">However, when the manufacturing processes differ and products require different amounts of labor and / or machine use, </t>
  </si>
  <si>
    <t>the selecting the overhead rate that assigns overhead costs based on the amounts of resources used (labor, machine time, etc.) would seem more appropriate.</t>
  </si>
  <si>
    <t>Therefore, as the number of products manufactured increase, the probability of different manufacturing processes used will also increased.</t>
  </si>
  <si>
    <t>And to assign shared overhead "fairly", overhead should be further analyzed, split into more specific groups, like departments, and if possible identified to specific manufacturing activies</t>
  </si>
  <si>
    <t xml:space="preserve">While this requires more work to analyze overhead this way, assigning overhead based on manufacturing activites is necessary when a variety of products using different </t>
  </si>
  <si>
    <t>manufacturing processes are being manufactured.</t>
  </si>
  <si>
    <t>This is called Activity Based Costing, (ABC) which will be discussed in the next two MAC sessions.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</si>
</sst>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quot;$&quot;* #,##0.0_);_(&quot;$&quot;* \(#,##0.0\);_(&quot;$&quot;* &quot;-&quot;?_);_(@_)"/>
    <numFmt numFmtId="168" formatCode="_(* #,##0.0_);_(* \(#,##0.0\);_(* &quot;-&quot;??_);_(@_)"/>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9"/>
      <color theme="1"/>
      <name val="Calibri"/>
      <family val="2"/>
      <scheme val="minor"/>
    </font>
    <font>
      <sz val="9"/>
      <color theme="1"/>
      <name val="Calibri"/>
      <family val="2"/>
      <scheme val="minor"/>
    </font>
    <font>
      <b/>
      <sz val="10"/>
      <color rgb="FFFF0000"/>
      <name val="Calibri"/>
      <family val="2"/>
      <scheme val="minor"/>
    </font>
    <font>
      <b/>
      <sz val="8"/>
      <color theme="1"/>
      <name val="Calibri"/>
      <family val="2"/>
      <scheme val="minor"/>
    </font>
    <font>
      <sz val="10"/>
      <name val="Calibri"/>
      <family val="2"/>
      <scheme val="minor"/>
    </font>
    <font>
      <sz val="10"/>
      <color theme="1"/>
      <name val="Calibri"/>
      <family val="2"/>
      <scheme val="minor"/>
    </font>
    <font>
      <sz val="8"/>
      <color theme="1"/>
      <name val="Calibri"/>
      <family val="2"/>
      <scheme val="minor"/>
    </font>
    <font>
      <sz val="10"/>
      <color theme="1" tint="0.34998626667073579"/>
      <name val="Calibri"/>
      <family val="2"/>
      <scheme val="minor"/>
    </font>
    <font>
      <b/>
      <sz val="10"/>
      <color theme="1"/>
      <name val="Calibri"/>
      <family val="2"/>
      <scheme val="minor"/>
    </font>
    <font>
      <b/>
      <sz val="11"/>
      <name val="Calibri"/>
      <family val="2"/>
      <scheme val="minor"/>
    </font>
    <font>
      <b/>
      <i/>
      <sz val="9"/>
      <name val="Calibri"/>
      <family val="2"/>
      <scheme val="minor"/>
    </font>
    <font>
      <b/>
      <sz val="14"/>
      <color theme="1"/>
      <name val="Calibri"/>
      <family val="2"/>
      <scheme val="minor"/>
    </font>
    <font>
      <sz val="14"/>
      <color theme="1"/>
      <name val="Calibri"/>
      <family val="2"/>
      <scheme val="minor"/>
    </font>
    <font>
      <b/>
      <i/>
      <sz val="14"/>
      <color rgb="FFFF0000"/>
      <name val="Calibri"/>
      <family val="2"/>
      <scheme val="minor"/>
    </font>
    <font>
      <b/>
      <i/>
      <sz val="14"/>
      <color theme="1"/>
      <name val="Calibri"/>
      <family val="2"/>
      <scheme val="minor"/>
    </font>
    <font>
      <b/>
      <sz val="11"/>
      <color rgb="FF00B0F0"/>
      <name val="Calibri"/>
      <family val="2"/>
      <scheme val="minor"/>
    </font>
    <font>
      <sz val="14"/>
      <color theme="1"/>
      <name val="Calibri Light"/>
      <family val="2"/>
      <scheme val="major"/>
    </font>
    <font>
      <sz val="12"/>
      <color theme="1"/>
      <name val="Calibri"/>
      <family val="2"/>
      <scheme val="minor"/>
    </font>
    <font>
      <b/>
      <sz val="12"/>
      <color theme="1"/>
      <name val="Calibri"/>
      <family val="2"/>
      <scheme val="minor"/>
    </font>
    <font>
      <b/>
      <i/>
      <u/>
      <sz val="12"/>
      <color theme="1"/>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99FF"/>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0000"/>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21">
    <xf numFmtId="0" fontId="0" fillId="0" borderId="0" xfId="0"/>
    <xf numFmtId="0" fontId="2"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2" borderId="0" xfId="0" applyFill="1" applyBorder="1"/>
    <xf numFmtId="0" fontId="0" fillId="2" borderId="5" xfId="0" applyFill="1" applyBorder="1"/>
    <xf numFmtId="0" fontId="0" fillId="0" borderId="0" xfId="0" applyFill="1"/>
    <xf numFmtId="0" fontId="0" fillId="3" borderId="0" xfId="0" applyFill="1" applyBorder="1"/>
    <xf numFmtId="0" fontId="0" fillId="3" borderId="5" xfId="0" applyFill="1" applyBorder="1"/>
    <xf numFmtId="0" fontId="0" fillId="0" borderId="0" xfId="0" applyBorder="1"/>
    <xf numFmtId="0" fontId="0" fillId="0" borderId="5" xfId="0" applyBorder="1"/>
    <xf numFmtId="9" fontId="0" fillId="0" borderId="0" xfId="0" applyNumberFormat="1" applyBorder="1"/>
    <xf numFmtId="0" fontId="2" fillId="0" borderId="4" xfId="0" applyFont="1" applyBorder="1"/>
    <xf numFmtId="0" fontId="2" fillId="0" borderId="0" xfId="0" applyFont="1" applyBorder="1"/>
    <xf numFmtId="0" fontId="2" fillId="0" borderId="5" xfId="0" applyFont="1" applyBorder="1"/>
    <xf numFmtId="164" fontId="0" fillId="0" borderId="0" xfId="2" applyNumberFormat="1" applyFont="1" applyBorder="1"/>
    <xf numFmtId="0" fontId="0" fillId="0" borderId="6" xfId="0" applyBorder="1"/>
    <xf numFmtId="164" fontId="0" fillId="0" borderId="7" xfId="2" applyNumberFormat="1" applyFont="1" applyBorder="1"/>
    <xf numFmtId="0" fontId="0" fillId="0" borderId="7" xfId="0" applyBorder="1"/>
    <xf numFmtId="0" fontId="0" fillId="0" borderId="8" xfId="0" applyBorder="1"/>
    <xf numFmtId="0" fontId="2" fillId="0" borderId="2" xfId="0" applyFont="1" applyBorder="1"/>
    <xf numFmtId="0" fontId="2" fillId="0" borderId="3" xfId="0" applyFont="1" applyBorder="1"/>
    <xf numFmtId="0" fontId="0" fillId="0" borderId="0" xfId="0" applyFill="1" applyBorder="1"/>
    <xf numFmtId="164" fontId="0" fillId="4" borderId="0" xfId="2" applyNumberFormat="1" applyFont="1" applyFill="1" applyBorder="1"/>
    <xf numFmtId="0" fontId="0" fillId="4" borderId="0" xfId="0" applyFill="1" applyBorder="1"/>
    <xf numFmtId="0" fontId="0" fillId="4" borderId="5" xfId="0" applyFill="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164" fontId="0" fillId="5" borderId="0" xfId="2" applyNumberFormat="1" applyFont="1" applyFill="1" applyBorder="1"/>
    <xf numFmtId="0" fontId="0" fillId="0" borderId="11" xfId="0" applyBorder="1"/>
    <xf numFmtId="0" fontId="0" fillId="0" borderId="12" xfId="0" applyBorder="1"/>
    <xf numFmtId="10" fontId="0" fillId="0" borderId="7" xfId="3" applyNumberFormat="1" applyFont="1" applyBorder="1"/>
    <xf numFmtId="10" fontId="0" fillId="0" borderId="8" xfId="3" applyNumberFormat="1" applyFont="1" applyBorder="1"/>
    <xf numFmtId="10" fontId="0" fillId="0" borderId="0" xfId="3" applyNumberFormat="1" applyFont="1" applyBorder="1"/>
    <xf numFmtId="1" fontId="0" fillId="0" borderId="0" xfId="0" applyNumberFormat="1" applyBorder="1"/>
    <xf numFmtId="1" fontId="0" fillId="0" borderId="5" xfId="0" applyNumberFormat="1" applyBorder="1"/>
    <xf numFmtId="0" fontId="2" fillId="0" borderId="1" xfId="0" applyFont="1" applyBorder="1"/>
    <xf numFmtId="1" fontId="2" fillId="0" borderId="11" xfId="0" applyNumberFormat="1" applyFont="1" applyBorder="1"/>
    <xf numFmtId="1" fontId="2" fillId="0" borderId="12" xfId="0" applyNumberFormat="1" applyFont="1" applyBorder="1"/>
    <xf numFmtId="164" fontId="0" fillId="5" borderId="0" xfId="0" applyNumberFormat="1" applyFill="1"/>
    <xf numFmtId="0" fontId="0" fillId="6" borderId="0" xfId="0" applyFill="1"/>
    <xf numFmtId="0" fontId="2" fillId="0" borderId="0" xfId="0" applyFont="1" applyFill="1" applyBorder="1"/>
    <xf numFmtId="0" fontId="3" fillId="0" borderId="0" xfId="0" applyFont="1" applyAlignment="1">
      <alignment horizontal="left"/>
    </xf>
    <xf numFmtId="44" fontId="0" fillId="6" borderId="0" xfId="2" applyFont="1" applyFill="1"/>
    <xf numFmtId="0" fontId="5" fillId="0" borderId="0" xfId="0" applyFont="1" applyFill="1" applyBorder="1"/>
    <xf numFmtId="0" fontId="5" fillId="0" borderId="0" xfId="0" applyFont="1"/>
    <xf numFmtId="0" fontId="6" fillId="0" borderId="1" xfId="0" applyFont="1" applyFill="1" applyBorder="1"/>
    <xf numFmtId="0" fontId="0" fillId="0" borderId="3" xfId="0" applyFill="1" applyBorder="1"/>
    <xf numFmtId="0" fontId="6" fillId="0" borderId="0" xfId="0" applyFont="1" applyFill="1"/>
    <xf numFmtId="0" fontId="7" fillId="6" borderId="0" xfId="0" applyFont="1" applyFill="1"/>
    <xf numFmtId="0" fontId="8" fillId="0" borderId="0" xfId="0" applyFont="1" applyAlignment="1">
      <alignment horizontal="left"/>
    </xf>
    <xf numFmtId="164" fontId="5" fillId="0" borderId="0" xfId="0" applyNumberFormat="1" applyFont="1" applyFill="1" applyBorder="1"/>
    <xf numFmtId="0" fontId="0" fillId="6" borderId="4" xfId="0" applyFill="1" applyBorder="1"/>
    <xf numFmtId="164" fontId="0" fillId="6" borderId="5" xfId="2" applyNumberFormat="1" applyFont="1" applyFill="1" applyBorder="1"/>
    <xf numFmtId="9" fontId="0" fillId="6" borderId="4" xfId="0" applyNumberFormat="1" applyFill="1" applyBorder="1"/>
    <xf numFmtId="164" fontId="0" fillId="0" borderId="5" xfId="0" applyNumberFormat="1" applyBorder="1"/>
    <xf numFmtId="9" fontId="10" fillId="6" borderId="0" xfId="0" applyNumberFormat="1" applyFont="1" applyFill="1"/>
    <xf numFmtId="164" fontId="10" fillId="6" borderId="0" xfId="0" applyNumberFormat="1" applyFont="1" applyFill="1"/>
    <xf numFmtId="0" fontId="2" fillId="6" borderId="6" xfId="0" applyFont="1" applyFill="1" applyBorder="1"/>
    <xf numFmtId="164" fontId="4" fillId="7" borderId="8" xfId="0" applyNumberFormat="1" applyFont="1" applyFill="1" applyBorder="1"/>
    <xf numFmtId="0" fontId="0" fillId="0" borderId="13" xfId="0" applyFill="1" applyBorder="1"/>
    <xf numFmtId="164" fontId="2" fillId="3" borderId="14" xfId="0" applyNumberFormat="1" applyFont="1" applyFill="1" applyBorder="1"/>
    <xf numFmtId="0" fontId="0" fillId="3" borderId="15" xfId="0" applyFill="1" applyBorder="1"/>
    <xf numFmtId="0" fontId="0" fillId="3" borderId="13" xfId="0" applyFill="1" applyBorder="1"/>
    <xf numFmtId="164" fontId="4" fillId="7" borderId="0" xfId="0" applyNumberFormat="1" applyFont="1" applyFill="1"/>
    <xf numFmtId="0" fontId="5" fillId="0" borderId="0" xfId="0" applyFont="1" applyFill="1"/>
    <xf numFmtId="0" fontId="5" fillId="0" borderId="1" xfId="0" applyFont="1" applyBorder="1" applyAlignment="1">
      <alignment horizontal="center"/>
    </xf>
    <xf numFmtId="164" fontId="4" fillId="0" borderId="0" xfId="0" applyNumberFormat="1" applyFont="1" applyFill="1"/>
    <xf numFmtId="0" fontId="0" fillId="3" borderId="16" xfId="0" applyFill="1" applyBorder="1" applyAlignment="1">
      <alignment horizontal="center"/>
    </xf>
    <xf numFmtId="164" fontId="2" fillId="0" borderId="0" xfId="0" applyNumberFormat="1" applyFont="1" applyFill="1" applyBorder="1"/>
    <xf numFmtId="164" fontId="0" fillId="0" borderId="0" xfId="0" applyNumberFormat="1" applyFill="1" applyBorder="1"/>
    <xf numFmtId="44" fontId="2" fillId="3" borderId="16" xfId="0" applyNumberFormat="1" applyFont="1" applyFill="1" applyBorder="1"/>
    <xf numFmtId="44" fontId="2" fillId="0" borderId="0" xfId="0" applyNumberFormat="1" applyFont="1" applyFill="1" applyBorder="1"/>
    <xf numFmtId="0" fontId="9" fillId="0" borderId="0" xfId="0" applyFont="1" applyAlignment="1">
      <alignment horizontal="center"/>
    </xf>
    <xf numFmtId="0" fontId="9" fillId="0" borderId="0" xfId="0" applyFont="1"/>
    <xf numFmtId="0" fontId="9" fillId="0" borderId="13" xfId="0" applyFont="1" applyBorder="1"/>
    <xf numFmtId="0" fontId="0" fillId="0" borderId="14" xfId="0" applyBorder="1"/>
    <xf numFmtId="164" fontId="0" fillId="0" borderId="4" xfId="0" applyNumberFormat="1" applyBorder="1"/>
    <xf numFmtId="164" fontId="0" fillId="0" borderId="0" xfId="0" applyNumberFormat="1"/>
    <xf numFmtId="44" fontId="2" fillId="8" borderId="0" xfId="0" applyNumberFormat="1" applyFont="1" applyFill="1"/>
    <xf numFmtId="0" fontId="2" fillId="0" borderId="13" xfId="0" applyFont="1" applyBorder="1"/>
    <xf numFmtId="164" fontId="0" fillId="0" borderId="6" xfId="0" applyNumberFormat="1" applyBorder="1"/>
    <xf numFmtId="164" fontId="12" fillId="3" borderId="0" xfId="0" applyNumberFormat="1" applyFont="1" applyFill="1"/>
    <xf numFmtId="164" fontId="0" fillId="0" borderId="0" xfId="2" applyNumberFormat="1" applyFont="1" applyFill="1" applyBorder="1"/>
    <xf numFmtId="0" fontId="3" fillId="0" borderId="0" xfId="0" applyFont="1"/>
    <xf numFmtId="0" fontId="13" fillId="9" borderId="19" xfId="0" applyFont="1" applyFill="1" applyBorder="1" applyAlignment="1">
      <alignment horizontal="center"/>
    </xf>
    <xf numFmtId="0" fontId="13" fillId="0" borderId="0" xfId="0" applyFont="1" applyAlignment="1">
      <alignment horizontal="center"/>
    </xf>
    <xf numFmtId="0" fontId="13" fillId="0" borderId="18" xfId="0" applyFont="1" applyBorder="1" applyAlignment="1">
      <alignment horizontal="center"/>
    </xf>
    <xf numFmtId="0" fontId="13" fillId="0" borderId="21" xfId="0" applyFont="1" applyBorder="1" applyAlignment="1">
      <alignment horizontal="center"/>
    </xf>
    <xf numFmtId="164" fontId="3" fillId="0" borderId="0" xfId="2" applyNumberFormat="1" applyFont="1"/>
    <xf numFmtId="9" fontId="3" fillId="0" borderId="0" xfId="0" applyNumberFormat="1" applyFont="1"/>
    <xf numFmtId="165" fontId="3" fillId="0" borderId="0" xfId="1" applyNumberFormat="1" applyFont="1"/>
    <xf numFmtId="164" fontId="3" fillId="0" borderId="17" xfId="2" applyNumberFormat="1" applyFont="1" applyBorder="1"/>
    <xf numFmtId="0" fontId="3" fillId="0" borderId="0" xfId="0" quotePrefix="1" applyFont="1" applyAlignment="1">
      <alignment horizontal="center"/>
    </xf>
    <xf numFmtId="0" fontId="3" fillId="0" borderId="0" xfId="0" applyFont="1" applyAlignment="1">
      <alignment horizontal="center"/>
    </xf>
    <xf numFmtId="0" fontId="3" fillId="0" borderId="0" xfId="0" quotePrefix="1" applyFont="1"/>
    <xf numFmtId="0" fontId="3" fillId="9" borderId="0" xfId="0" applyFont="1" applyFill="1"/>
    <xf numFmtId="0" fontId="3" fillId="0" borderId="18" xfId="0" applyFont="1" applyBorder="1" applyAlignment="1">
      <alignment horizontal="center"/>
    </xf>
    <xf numFmtId="0" fontId="13" fillId="9" borderId="18" xfId="0" applyFont="1" applyFill="1" applyBorder="1" applyAlignment="1">
      <alignment horizontal="center"/>
    </xf>
    <xf numFmtId="164" fontId="3" fillId="0" borderId="0" xfId="0" applyNumberFormat="1" applyFont="1"/>
    <xf numFmtId="44" fontId="3" fillId="0" borderId="0" xfId="2" applyFont="1"/>
    <xf numFmtId="44" fontId="13" fillId="0" borderId="0" xfId="2" applyFont="1"/>
    <xf numFmtId="43" fontId="13" fillId="0" borderId="0" xfId="0" applyNumberFormat="1" applyFont="1"/>
    <xf numFmtId="44" fontId="3" fillId="0" borderId="0" xfId="0" applyNumberFormat="1" applyFont="1"/>
    <xf numFmtId="44" fontId="13" fillId="0" borderId="0" xfId="0" applyNumberFormat="1" applyFont="1"/>
    <xf numFmtId="164" fontId="3" fillId="0" borderId="17" xfId="0" applyNumberFormat="1" applyFont="1" applyBorder="1"/>
    <xf numFmtId="0" fontId="3" fillId="0" borderId="0" xfId="0" applyFont="1" applyAlignment="1">
      <alignment horizontal="right"/>
    </xf>
    <xf numFmtId="44" fontId="13" fillId="9" borderId="17" xfId="2" applyFont="1" applyFill="1" applyBorder="1"/>
    <xf numFmtId="0" fontId="13" fillId="0" borderId="0" xfId="0" applyFont="1"/>
    <xf numFmtId="44" fontId="13" fillId="9" borderId="17" xfId="0" applyNumberFormat="1" applyFont="1" applyFill="1" applyBorder="1"/>
    <xf numFmtId="0" fontId="3" fillId="0" borderId="0" xfId="0" applyFont="1" applyAlignment="1">
      <alignment horizontal="right" indent="1"/>
    </xf>
    <xf numFmtId="44" fontId="13" fillId="9" borderId="0" xfId="0" applyNumberFormat="1" applyFont="1" applyFill="1"/>
    <xf numFmtId="166" fontId="14" fillId="0" borderId="0" xfId="3" applyNumberFormat="1" applyFont="1"/>
    <xf numFmtId="165" fontId="3" fillId="0" borderId="0" xfId="0" applyNumberFormat="1" applyFont="1"/>
    <xf numFmtId="165" fontId="13" fillId="0" borderId="0" xfId="1" applyNumberFormat="1" applyFont="1"/>
    <xf numFmtId="166" fontId="13" fillId="0" borderId="0" xfId="3" applyNumberFormat="1" applyFont="1"/>
    <xf numFmtId="164" fontId="13" fillId="0" borderId="0" xfId="2" applyNumberFormat="1" applyFont="1"/>
    <xf numFmtId="10" fontId="3" fillId="0" borderId="0" xfId="0" applyNumberFormat="1" applyFont="1"/>
    <xf numFmtId="166" fontId="3" fillId="0" borderId="0" xfId="3" applyNumberFormat="1" applyFont="1"/>
    <xf numFmtId="0" fontId="8" fillId="0" borderId="0" xfId="0" applyFont="1"/>
    <xf numFmtId="165" fontId="8" fillId="0" borderId="0" xfId="1" applyNumberFormat="1" applyFont="1"/>
    <xf numFmtId="165" fontId="3" fillId="0" borderId="17" xfId="0" applyNumberFormat="1" applyFont="1" applyBorder="1"/>
    <xf numFmtId="165" fontId="13" fillId="0" borderId="0" xfId="0" applyNumberFormat="1" applyFont="1"/>
    <xf numFmtId="44" fontId="13" fillId="0" borderId="17" xfId="0" applyNumberFormat="1" applyFont="1" applyBorder="1"/>
    <xf numFmtId="0" fontId="15" fillId="0" borderId="16" xfId="0" applyFont="1" applyBorder="1" applyAlignment="1">
      <alignment horizontal="center"/>
    </xf>
    <xf numFmtId="0" fontId="16" fillId="0" borderId="16" xfId="0" applyFont="1" applyBorder="1" applyAlignment="1">
      <alignment horizontal="center"/>
    </xf>
    <xf numFmtId="0" fontId="16" fillId="0" borderId="0" xfId="0" applyFont="1"/>
    <xf numFmtId="0" fontId="17" fillId="0" borderId="0" xfId="0" applyFont="1"/>
    <xf numFmtId="0" fontId="18" fillId="0" borderId="0" xfId="0" applyFont="1"/>
    <xf numFmtId="6" fontId="0" fillId="0" borderId="0" xfId="0" applyNumberFormat="1"/>
    <xf numFmtId="6" fontId="2" fillId="0" borderId="0" xfId="0" applyNumberFormat="1" applyFont="1"/>
    <xf numFmtId="164" fontId="0" fillId="0" borderId="0" xfId="2" applyNumberFormat="1" applyFont="1"/>
    <xf numFmtId="167" fontId="0" fillId="0" borderId="0" xfId="0" applyNumberFormat="1"/>
    <xf numFmtId="0" fontId="19" fillId="0" borderId="0" xfId="0" applyFont="1"/>
    <xf numFmtId="44" fontId="0" fillId="0" borderId="0" xfId="0" applyNumberFormat="1"/>
    <xf numFmtId="44" fontId="2" fillId="0" borderId="0" xfId="0" applyNumberFormat="1" applyFont="1"/>
    <xf numFmtId="44" fontId="0" fillId="5" borderId="0" xfId="0" applyNumberFormat="1" applyFill="1"/>
    <xf numFmtId="44" fontId="0" fillId="10" borderId="0" xfId="0" applyNumberFormat="1" applyFill="1"/>
    <xf numFmtId="0" fontId="18" fillId="0" borderId="0" xfId="0" applyFont="1" applyFill="1"/>
    <xf numFmtId="164" fontId="0" fillId="0" borderId="0" xfId="2" applyNumberFormat="1" applyFont="1" applyFill="1"/>
    <xf numFmtId="0" fontId="2" fillId="0" borderId="0" xfId="0" applyFont="1" applyFill="1"/>
    <xf numFmtId="44" fontId="0" fillId="0" borderId="0" xfId="0" applyNumberFormat="1" applyFill="1"/>
    <xf numFmtId="164" fontId="2" fillId="0" borderId="0" xfId="0" applyNumberFormat="1" applyFont="1"/>
    <xf numFmtId="164" fontId="0" fillId="10" borderId="0" xfId="0" applyNumberFormat="1" applyFill="1"/>
    <xf numFmtId="44" fontId="0" fillId="8" borderId="0" xfId="2" applyFont="1" applyFill="1"/>
    <xf numFmtId="0" fontId="0" fillId="11" borderId="0" xfId="0" applyFill="1"/>
    <xf numFmtId="164" fontId="0" fillId="8" borderId="0" xfId="0" applyNumberFormat="1" applyFill="1"/>
    <xf numFmtId="0" fontId="16" fillId="0" borderId="19" xfId="0" applyFont="1" applyBorder="1" applyAlignment="1">
      <alignment horizontal="center"/>
    </xf>
    <xf numFmtId="43" fontId="16" fillId="0" borderId="19" xfId="1" applyFont="1" applyBorder="1" applyAlignment="1">
      <alignment horizontal="right"/>
    </xf>
    <xf numFmtId="43" fontId="16" fillId="0" borderId="26" xfId="1" applyFont="1" applyBorder="1" applyAlignment="1">
      <alignment horizontal="right"/>
    </xf>
    <xf numFmtId="44" fontId="16" fillId="0" borderId="0" xfId="2" applyFont="1" applyAlignment="1">
      <alignment horizontal="right"/>
    </xf>
    <xf numFmtId="168" fontId="16" fillId="0" borderId="19" xfId="1" applyNumberFormat="1" applyFont="1" applyBorder="1"/>
    <xf numFmtId="43" fontId="16" fillId="0" borderId="0" xfId="1" applyFont="1" applyBorder="1" applyAlignment="1">
      <alignment horizontal="right"/>
    </xf>
    <xf numFmtId="165" fontId="16" fillId="0" borderId="19" xfId="1" applyNumberFormat="1" applyFont="1" applyBorder="1"/>
    <xf numFmtId="0" fontId="0" fillId="0" borderId="0" xfId="0" applyAlignment="1">
      <alignment horizontal="right"/>
    </xf>
    <xf numFmtId="0" fontId="20" fillId="0" borderId="0" xfId="0" applyFont="1" applyAlignment="1">
      <alignment horizontal="right"/>
    </xf>
    <xf numFmtId="0" fontId="20" fillId="0" borderId="0" xfId="0" applyFont="1"/>
    <xf numFmtId="44" fontId="16" fillId="0" borderId="0" xfId="2" applyFont="1"/>
    <xf numFmtId="0" fontId="21" fillId="0" borderId="0" xfId="0" applyFont="1"/>
    <xf numFmtId="0" fontId="21" fillId="0" borderId="0" xfId="0" applyFont="1" applyAlignment="1">
      <alignment horizontal="center"/>
    </xf>
    <xf numFmtId="0" fontId="22" fillId="0" borderId="0" xfId="0" applyFont="1" applyAlignment="1">
      <alignment horizontal="center"/>
    </xf>
    <xf numFmtId="0" fontId="0" fillId="0" borderId="0" xfId="0" applyAlignment="1">
      <alignment horizontal="center"/>
    </xf>
    <xf numFmtId="0" fontId="16" fillId="0" borderId="20" xfId="0" applyFont="1" applyBorder="1" applyAlignment="1">
      <alignment horizontal="center"/>
    </xf>
    <xf numFmtId="0" fontId="16" fillId="0" borderId="22" xfId="0" applyFont="1" applyBorder="1" applyAlignment="1">
      <alignment horizontal="center"/>
    </xf>
    <xf numFmtId="0" fontId="16" fillId="0" borderId="19" xfId="0" applyFont="1" applyBorder="1" applyAlignment="1">
      <alignment horizontal="center"/>
    </xf>
    <xf numFmtId="0" fontId="4" fillId="6" borderId="1" xfId="0" applyFont="1" applyFill="1" applyBorder="1" applyAlignment="1">
      <alignment horizontal="center"/>
    </xf>
    <xf numFmtId="0" fontId="4" fillId="6" borderId="3" xfId="0" applyFont="1" applyFill="1" applyBorder="1" applyAlignment="1">
      <alignment horizontal="center"/>
    </xf>
    <xf numFmtId="0" fontId="4" fillId="6" borderId="4" xfId="0" applyFont="1" applyFill="1" applyBorder="1" applyAlignment="1">
      <alignment horizontal="center"/>
    </xf>
    <xf numFmtId="0" fontId="4" fillId="6" borderId="5" xfId="0" applyFont="1" applyFill="1" applyBorder="1" applyAlignment="1">
      <alignment horizontal="center"/>
    </xf>
    <xf numFmtId="0" fontId="9" fillId="6" borderId="4" xfId="0" applyFont="1" applyFill="1" applyBorder="1" applyAlignment="1">
      <alignment horizontal="center"/>
    </xf>
    <xf numFmtId="0" fontId="9" fillId="6" borderId="5" xfId="0" applyFont="1" applyFill="1" applyBorder="1" applyAlignment="1">
      <alignment horizontal="center"/>
    </xf>
    <xf numFmtId="0" fontId="6" fillId="0" borderId="0" xfId="0" quotePrefix="1" applyFont="1" applyFill="1" applyBorder="1" applyAlignment="1">
      <alignment horizontal="right"/>
    </xf>
    <xf numFmtId="0" fontId="6" fillId="0" borderId="5" xfId="0" quotePrefix="1" applyFont="1" applyFill="1" applyBorder="1" applyAlignment="1">
      <alignment horizontal="right"/>
    </xf>
    <xf numFmtId="0" fontId="6" fillId="0" borderId="0" xfId="0" applyFont="1" applyFill="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11" fillId="0" borderId="0" xfId="0" applyFont="1" applyAlignment="1">
      <alignment horizontal="right"/>
    </xf>
    <xf numFmtId="0" fontId="11" fillId="0" borderId="5" xfId="0" applyFont="1" applyBorder="1" applyAlignment="1">
      <alignment horizontal="right"/>
    </xf>
    <xf numFmtId="0" fontId="0" fillId="3" borderId="15" xfId="0" applyFill="1" applyBorder="1" applyAlignment="1">
      <alignment horizontal="right"/>
    </xf>
    <xf numFmtId="0" fontId="0" fillId="3" borderId="13" xfId="0" applyFill="1" applyBorder="1" applyAlignment="1">
      <alignment horizontal="center"/>
    </xf>
    <xf numFmtId="0" fontId="0" fillId="3" borderId="14" xfId="0" applyFill="1" applyBorder="1" applyAlignment="1">
      <alignment horizontal="center"/>
    </xf>
    <xf numFmtId="0" fontId="0" fillId="3" borderId="15" xfId="0" applyFill="1" applyBorder="1" applyAlignment="1">
      <alignment horizontal="center"/>
    </xf>
    <xf numFmtId="164" fontId="0" fillId="6" borderId="1" xfId="0" applyNumberFormat="1" applyFill="1" applyBorder="1" applyAlignment="1">
      <alignment horizontal="center"/>
    </xf>
    <xf numFmtId="164" fontId="0" fillId="6" borderId="3" xfId="0" applyNumberFormat="1" applyFill="1" applyBorder="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44" fontId="2" fillId="3" borderId="15" xfId="0" applyNumberFormat="1" applyFont="1" applyFill="1" applyBorder="1" applyAlignment="1">
      <alignment horizontal="center"/>
    </xf>
    <xf numFmtId="44" fontId="2" fillId="3" borderId="13" xfId="0" applyNumberFormat="1" applyFont="1" applyFill="1" applyBorder="1" applyAlignment="1">
      <alignment horizontal="center"/>
    </xf>
    <xf numFmtId="44" fontId="2" fillId="3" borderId="14" xfId="0" applyNumberFormat="1" applyFont="1" applyFill="1" applyBorder="1" applyAlignment="1">
      <alignment horizontal="center"/>
    </xf>
    <xf numFmtId="0" fontId="9" fillId="0" borderId="2" xfId="0" applyFont="1" applyBorder="1" applyAlignment="1">
      <alignment horizontal="center"/>
    </xf>
    <xf numFmtId="0" fontId="12" fillId="0" borderId="13" xfId="0" applyFont="1" applyBorder="1" applyAlignment="1">
      <alignment horizontal="center"/>
    </xf>
    <xf numFmtId="0" fontId="12" fillId="0" borderId="14" xfId="0" applyFont="1" applyBorder="1" applyAlignment="1">
      <alignment horizontal="center"/>
    </xf>
    <xf numFmtId="0" fontId="2" fillId="0" borderId="13" xfId="0" applyFont="1" applyBorder="1" applyAlignment="1">
      <alignment horizontal="center"/>
    </xf>
    <xf numFmtId="0" fontId="2" fillId="0" borderId="15" xfId="0" applyFont="1" applyBorder="1" applyAlignment="1">
      <alignment horizontal="center"/>
    </xf>
    <xf numFmtId="0" fontId="2" fillId="0" borderId="14"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9" fillId="0" borderId="15" xfId="0" applyFont="1" applyBorder="1" applyAlignment="1">
      <alignment horizontal="center"/>
    </xf>
    <xf numFmtId="164" fontId="0" fillId="6" borderId="6" xfId="0" applyNumberFormat="1" applyFill="1" applyBorder="1" applyAlignment="1">
      <alignment horizontal="center"/>
    </xf>
    <xf numFmtId="164" fontId="0" fillId="6" borderId="8" xfId="0" applyNumberFormat="1" applyFill="1" applyBorder="1" applyAlignment="1">
      <alignment horizontal="center"/>
    </xf>
    <xf numFmtId="164" fontId="0" fillId="0" borderId="6" xfId="0" applyNumberFormat="1" applyBorder="1" applyAlignment="1">
      <alignment horizontal="center"/>
    </xf>
    <xf numFmtId="164" fontId="0" fillId="0" borderId="8" xfId="0" applyNumberFormat="1" applyBorder="1" applyAlignment="1">
      <alignment horizontal="center"/>
    </xf>
    <xf numFmtId="164" fontId="12" fillId="3" borderId="2" xfId="0" applyNumberFormat="1" applyFont="1" applyFill="1" applyBorder="1" applyAlignment="1">
      <alignment horizontal="center"/>
    </xf>
    <xf numFmtId="0" fontId="0" fillId="0" borderId="0" xfId="0" applyBorder="1" applyAlignment="1">
      <alignment horizontal="left"/>
    </xf>
    <xf numFmtId="0" fontId="0" fillId="0" borderId="5" xfId="0" applyBorder="1" applyAlignment="1">
      <alignment horizontal="left"/>
    </xf>
    <xf numFmtId="0" fontId="13" fillId="9" borderId="13" xfId="0" applyFont="1" applyFill="1" applyBorder="1" applyAlignment="1">
      <alignment horizontal="center"/>
    </xf>
    <xf numFmtId="0" fontId="13" fillId="9" borderId="15" xfId="0" applyFont="1" applyFill="1" applyBorder="1" applyAlignment="1">
      <alignment horizontal="center"/>
    </xf>
    <xf numFmtId="0" fontId="13" fillId="9" borderId="14" xfId="0" applyFont="1" applyFill="1" applyBorder="1" applyAlignment="1">
      <alignment horizontal="center"/>
    </xf>
    <xf numFmtId="0" fontId="13" fillId="9" borderId="20" xfId="0" applyFont="1" applyFill="1" applyBorder="1" applyAlignment="1">
      <alignment horizontal="center"/>
    </xf>
    <xf numFmtId="0" fontId="13" fillId="9" borderId="21" xfId="0" applyFont="1" applyFill="1" applyBorder="1" applyAlignment="1">
      <alignment horizontal="center"/>
    </xf>
    <xf numFmtId="0" fontId="13" fillId="9" borderId="22" xfId="0" applyFont="1" applyFill="1" applyBorder="1" applyAlignment="1">
      <alignment horizontal="center"/>
    </xf>
    <xf numFmtId="0" fontId="13" fillId="9" borderId="18" xfId="0" applyFont="1" applyFill="1" applyBorder="1" applyAlignment="1">
      <alignment horizont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d_External_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 Questions 1 - 4 &amp; answers"/>
      <sheetName val="Case Questions 5-9 &amp; answers"/>
    </sheetNames>
    <sheetDataSet>
      <sheetData sheetId="0">
        <row r="32">
          <cell r="G32">
            <v>4.146352805527215</v>
          </cell>
          <cell r="H32">
            <v>5.4724855690801855</v>
          </cell>
          <cell r="I32">
            <v>5.8942501150290711</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8"/>
  <sheetViews>
    <sheetView workbookViewId="0">
      <selection activeCell="F38" sqref="F38"/>
    </sheetView>
  </sheetViews>
  <sheetFormatPr defaultRowHeight="14.3" x14ac:dyDescent="0.25"/>
  <cols>
    <col min="3" max="3" width="17.75" customWidth="1"/>
    <col min="4" max="4" width="7" customWidth="1"/>
    <col min="5" max="5" width="10.125" customWidth="1"/>
    <col min="6" max="6" width="12" customWidth="1"/>
    <col min="8" max="8" width="13.75" customWidth="1"/>
    <col min="9" max="9" width="7.25" customWidth="1"/>
    <col min="10" max="10" width="17.75" customWidth="1"/>
    <col min="11" max="11" width="13.75" customWidth="1"/>
    <col min="12" max="12" width="10" customWidth="1"/>
    <col min="13" max="13" width="17.75" customWidth="1"/>
    <col min="14" max="14" width="13.75" customWidth="1"/>
  </cols>
  <sheetData>
    <row r="1" spans="2:7" ht="14.95" thickBot="1" x14ac:dyDescent="0.3"/>
    <row r="2" spans="2:7" ht="19.7" thickBot="1" x14ac:dyDescent="0.4">
      <c r="C2" s="128" t="s">
        <v>206</v>
      </c>
    </row>
    <row r="3" spans="2:7" ht="19.7" thickBot="1" x14ac:dyDescent="0.4">
      <c r="B3" s="129" t="s">
        <v>207</v>
      </c>
      <c r="C3" s="130" t="s">
        <v>208</v>
      </c>
    </row>
    <row r="4" spans="2:7" ht="19.05" x14ac:dyDescent="0.35">
      <c r="C4" s="130" t="s">
        <v>209</v>
      </c>
    </row>
    <row r="5" spans="2:7" ht="19.05" x14ac:dyDescent="0.35">
      <c r="C5" s="130" t="s">
        <v>210</v>
      </c>
    </row>
    <row r="6" spans="2:7" ht="19.05" x14ac:dyDescent="0.35">
      <c r="C6" s="130" t="s">
        <v>211</v>
      </c>
    </row>
    <row r="7" spans="2:7" ht="19.05" x14ac:dyDescent="0.35">
      <c r="C7" s="130" t="s">
        <v>212</v>
      </c>
    </row>
    <row r="8" spans="2:7" ht="19.05" x14ac:dyDescent="0.35">
      <c r="C8" s="130"/>
    </row>
    <row r="9" spans="2:7" ht="19.05" x14ac:dyDescent="0.35">
      <c r="C9" s="131" t="s">
        <v>213</v>
      </c>
    </row>
    <row r="11" spans="2:7" ht="19.05" x14ac:dyDescent="0.35">
      <c r="C11" s="132" t="s">
        <v>214</v>
      </c>
    </row>
    <row r="12" spans="2:7" ht="19.05" x14ac:dyDescent="0.35">
      <c r="C12" s="132" t="s">
        <v>215</v>
      </c>
    </row>
    <row r="14" spans="2:7" x14ac:dyDescent="0.25">
      <c r="G14" t="s">
        <v>216</v>
      </c>
    </row>
    <row r="15" spans="2:7" x14ac:dyDescent="0.25">
      <c r="C15" t="s">
        <v>217</v>
      </c>
      <c r="D15">
        <v>2</v>
      </c>
      <c r="E15" s="133">
        <v>5</v>
      </c>
      <c r="G15" s="133">
        <f>D15*E15</f>
        <v>10</v>
      </c>
    </row>
    <row r="16" spans="2:7" x14ac:dyDescent="0.25">
      <c r="C16" t="s">
        <v>218</v>
      </c>
      <c r="D16">
        <v>1</v>
      </c>
      <c r="E16" s="133">
        <v>10</v>
      </c>
      <c r="G16" s="133">
        <f>D16*E16</f>
        <v>10</v>
      </c>
    </row>
    <row r="17" spans="3:7" x14ac:dyDescent="0.25">
      <c r="C17" t="s">
        <v>219</v>
      </c>
      <c r="D17">
        <v>10000</v>
      </c>
      <c r="E17" s="133">
        <v>100000</v>
      </c>
      <c r="G17" s="133">
        <f>E17/D17</f>
        <v>10</v>
      </c>
    </row>
    <row r="18" spans="3:7" x14ac:dyDescent="0.25">
      <c r="G18" s="134">
        <f>SUM(G15:G17)</f>
        <v>30</v>
      </c>
    </row>
    <row r="19" spans="3:7" x14ac:dyDescent="0.25">
      <c r="G19" s="133"/>
    </row>
    <row r="20" spans="3:7" x14ac:dyDescent="0.25">
      <c r="C20" t="s">
        <v>217</v>
      </c>
      <c r="D20">
        <v>2</v>
      </c>
      <c r="E20" s="133">
        <v>5</v>
      </c>
      <c r="G20" s="133">
        <f>D20*E20</f>
        <v>10</v>
      </c>
    </row>
    <row r="21" spans="3:7" x14ac:dyDescent="0.25">
      <c r="C21" t="s">
        <v>218</v>
      </c>
      <c r="D21">
        <v>1</v>
      </c>
      <c r="E21" s="133">
        <v>10</v>
      </c>
      <c r="G21" s="133">
        <f>D21*E21</f>
        <v>10</v>
      </c>
    </row>
    <row r="22" spans="3:7" x14ac:dyDescent="0.25">
      <c r="C22" t="s">
        <v>220</v>
      </c>
      <c r="D22">
        <f>D17*D16</f>
        <v>10000</v>
      </c>
      <c r="E22" s="133">
        <f>E17</f>
        <v>100000</v>
      </c>
      <c r="G22" s="133">
        <f>E22/D22</f>
        <v>10</v>
      </c>
    </row>
    <row r="23" spans="3:7" x14ac:dyDescent="0.25">
      <c r="E23" s="133"/>
      <c r="G23" s="134">
        <f>SUM(G20:G22)</f>
        <v>30</v>
      </c>
    </row>
    <row r="24" spans="3:7" x14ac:dyDescent="0.25">
      <c r="E24" s="133"/>
    </row>
    <row r="25" spans="3:7" x14ac:dyDescent="0.25">
      <c r="C25" t="s">
        <v>217</v>
      </c>
      <c r="D25">
        <v>2</v>
      </c>
      <c r="E25" s="133">
        <v>5</v>
      </c>
      <c r="G25" s="133">
        <f>D25*E25</f>
        <v>10</v>
      </c>
    </row>
    <row r="26" spans="3:7" x14ac:dyDescent="0.25">
      <c r="C26" t="s">
        <v>218</v>
      </c>
      <c r="D26">
        <v>1</v>
      </c>
      <c r="E26" s="133">
        <v>10</v>
      </c>
      <c r="G26" s="133">
        <f>D26*E26</f>
        <v>10</v>
      </c>
    </row>
    <row r="27" spans="3:7" x14ac:dyDescent="0.25">
      <c r="C27" t="s">
        <v>221</v>
      </c>
      <c r="D27">
        <f>10000*0.5</f>
        <v>5000</v>
      </c>
      <c r="E27" s="135">
        <v>100000</v>
      </c>
      <c r="F27" s="135">
        <f>E27/D27</f>
        <v>20</v>
      </c>
      <c r="G27" s="136">
        <f>F27*0.5</f>
        <v>10</v>
      </c>
    </row>
    <row r="28" spans="3:7" x14ac:dyDescent="0.25">
      <c r="F28" t="s">
        <v>222</v>
      </c>
      <c r="G28" s="134">
        <f>SUM(G25:G27)</f>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3"/>
  <sheetViews>
    <sheetView workbookViewId="0">
      <selection activeCell="C28" sqref="C28"/>
    </sheetView>
  </sheetViews>
  <sheetFormatPr defaultRowHeight="14.3" x14ac:dyDescent="0.25"/>
  <cols>
    <col min="3" max="3" width="24.375" customWidth="1"/>
    <col min="4" max="6" width="15.75" customWidth="1"/>
    <col min="7" max="7" width="12.75" customWidth="1"/>
    <col min="8" max="8" width="12" customWidth="1"/>
    <col min="9" max="9" width="15.75" customWidth="1"/>
    <col min="10" max="10" width="12.75" customWidth="1"/>
    <col min="11" max="11" width="15.75" customWidth="1"/>
    <col min="12" max="12" width="12.75" customWidth="1"/>
    <col min="13" max="13" width="11.75" customWidth="1"/>
    <col min="14" max="14" width="15.75" customWidth="1"/>
    <col min="15" max="15" width="12.75" customWidth="1"/>
    <col min="16" max="16" width="15.75" customWidth="1"/>
    <col min="17" max="17" width="12.75" customWidth="1"/>
  </cols>
  <sheetData>
    <row r="1" spans="2:10" ht="14.95" thickBot="1" x14ac:dyDescent="0.3"/>
    <row r="2" spans="2:10" ht="19.7" thickBot="1" x14ac:dyDescent="0.4">
      <c r="C2" s="128" t="s">
        <v>223</v>
      </c>
    </row>
    <row r="3" spans="2:10" ht="19.7" thickBot="1" x14ac:dyDescent="0.4">
      <c r="B3" s="129" t="s">
        <v>224</v>
      </c>
      <c r="C3" s="130" t="s">
        <v>225</v>
      </c>
    </row>
    <row r="4" spans="2:10" ht="19.05" x14ac:dyDescent="0.35">
      <c r="C4" s="130" t="s">
        <v>226</v>
      </c>
    </row>
    <row r="5" spans="2:10" ht="19.05" x14ac:dyDescent="0.35">
      <c r="C5" s="130" t="s">
        <v>227</v>
      </c>
    </row>
    <row r="6" spans="2:10" ht="19.05" x14ac:dyDescent="0.35">
      <c r="C6" s="130" t="s">
        <v>228</v>
      </c>
    </row>
    <row r="7" spans="2:10" ht="19.05" x14ac:dyDescent="0.35">
      <c r="C7" s="130" t="s">
        <v>229</v>
      </c>
    </row>
    <row r="8" spans="2:10" ht="19.05" x14ac:dyDescent="0.35">
      <c r="C8" s="130"/>
    </row>
    <row r="9" spans="2:10" ht="19.05" x14ac:dyDescent="0.35">
      <c r="C9" s="131" t="s">
        <v>230</v>
      </c>
    </row>
    <row r="11" spans="2:10" ht="19.05" x14ac:dyDescent="0.35">
      <c r="C11" s="132" t="s">
        <v>231</v>
      </c>
    </row>
    <row r="12" spans="2:10" ht="19.05" x14ac:dyDescent="0.35">
      <c r="C12" s="132" t="s">
        <v>232</v>
      </c>
      <c r="H12" t="s">
        <v>216</v>
      </c>
      <c r="J12" t="s">
        <v>216</v>
      </c>
    </row>
    <row r="13" spans="2:10" ht="19.05" x14ac:dyDescent="0.35">
      <c r="C13" s="132"/>
      <c r="D13" s="137" t="s">
        <v>233</v>
      </c>
      <c r="E13" s="137" t="s">
        <v>234</v>
      </c>
      <c r="F13" s="137" t="s">
        <v>235</v>
      </c>
      <c r="H13" t="s">
        <v>236</v>
      </c>
      <c r="J13" t="s">
        <v>237</v>
      </c>
    </row>
    <row r="14" spans="2:10" ht="19.05" x14ac:dyDescent="0.35">
      <c r="C14" s="132" t="s">
        <v>217</v>
      </c>
      <c r="H14" s="138">
        <f>2*5</f>
        <v>10</v>
      </c>
      <c r="J14" s="138">
        <f>3*5</f>
        <v>15</v>
      </c>
    </row>
    <row r="15" spans="2:10" ht="19.05" x14ac:dyDescent="0.35">
      <c r="C15" s="132" t="s">
        <v>218</v>
      </c>
      <c r="H15" s="138">
        <f>1*10</f>
        <v>10</v>
      </c>
      <c r="J15" s="138">
        <f>1.5*10</f>
        <v>15</v>
      </c>
    </row>
    <row r="16" spans="2:10" ht="19.05" x14ac:dyDescent="0.35">
      <c r="C16" s="132" t="s">
        <v>238</v>
      </c>
      <c r="D16" s="135">
        <v>100000</v>
      </c>
      <c r="E16">
        <f>7000*1+3000*1.5</f>
        <v>11500</v>
      </c>
      <c r="F16" s="139">
        <f>D16/E16</f>
        <v>8.695652173913043</v>
      </c>
      <c r="G16" t="s">
        <v>239</v>
      </c>
      <c r="H16" s="138">
        <f>F16*1</f>
        <v>8.695652173913043</v>
      </c>
      <c r="J16" s="138">
        <f>F16*1.5</f>
        <v>13.043478260869565</v>
      </c>
    </row>
    <row r="17" spans="3:10" ht="19.05" x14ac:dyDescent="0.35">
      <c r="C17" s="132"/>
      <c r="D17" s="135"/>
      <c r="F17" s="1"/>
      <c r="H17" s="140">
        <f>SUM(H14:H16)</f>
        <v>28.695652173913043</v>
      </c>
      <c r="J17" s="141">
        <f>SUM(J14:J16)</f>
        <v>43.043478260869563</v>
      </c>
    </row>
    <row r="18" spans="3:10" s="8" customFormat="1" ht="19.05" x14ac:dyDescent="0.35">
      <c r="C18" s="142"/>
      <c r="D18" s="143"/>
      <c r="F18" s="144"/>
      <c r="H18" s="145"/>
    </row>
    <row r="19" spans="3:10" ht="19.05" x14ac:dyDescent="0.35">
      <c r="C19" s="132" t="s">
        <v>240</v>
      </c>
      <c r="D19" s="135">
        <v>100000</v>
      </c>
      <c r="E19">
        <f>7000*0.5+3000*1</f>
        <v>6500</v>
      </c>
      <c r="F19" s="139">
        <f>D19/E19</f>
        <v>15.384615384615385</v>
      </c>
      <c r="G19" t="s">
        <v>222</v>
      </c>
      <c r="H19" s="138">
        <f>F19*0.5</f>
        <v>7.6923076923076925</v>
      </c>
      <c r="J19" s="138">
        <f>F19*1</f>
        <v>15.384615384615385</v>
      </c>
    </row>
    <row r="20" spans="3:10" ht="19.05" x14ac:dyDescent="0.35">
      <c r="C20" s="132"/>
      <c r="D20" s="135"/>
      <c r="F20" s="1"/>
      <c r="H20" s="140">
        <f>H14+H15+H19</f>
        <v>27.692307692307693</v>
      </c>
      <c r="J20" s="141">
        <f>J14+J15+J19</f>
        <v>45.384615384615387</v>
      </c>
    </row>
    <row r="21" spans="3:10" s="8" customFormat="1" ht="19.05" x14ac:dyDescent="0.35">
      <c r="C21" s="142"/>
      <c r="D21" s="143"/>
      <c r="F21" s="144"/>
      <c r="H21" s="145"/>
    </row>
    <row r="22" spans="3:10" ht="19.05" x14ac:dyDescent="0.35">
      <c r="C22" s="132" t="s">
        <v>241</v>
      </c>
      <c r="D22" s="135">
        <v>100000</v>
      </c>
      <c r="E22">
        <f>7000+3000</f>
        <v>10000</v>
      </c>
      <c r="F22" s="146">
        <f>D22/E22</f>
        <v>10</v>
      </c>
      <c r="G22" t="s">
        <v>75</v>
      </c>
      <c r="H22" s="82">
        <f>F22</f>
        <v>10</v>
      </c>
      <c r="J22" s="82">
        <f>F22</f>
        <v>10</v>
      </c>
    </row>
    <row r="23" spans="3:10" x14ac:dyDescent="0.25">
      <c r="H23" s="43">
        <f>H14+H15+H22</f>
        <v>30</v>
      </c>
      <c r="J23" s="147">
        <f>J14+J15+J22</f>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6"/>
  <sheetViews>
    <sheetView workbookViewId="0">
      <selection activeCell="E17" sqref="E17:P26"/>
    </sheetView>
  </sheetViews>
  <sheetFormatPr defaultRowHeight="14.3" x14ac:dyDescent="0.25"/>
  <cols>
    <col min="3" max="3" width="19.25" customWidth="1"/>
    <col min="4" max="4" width="11.375" customWidth="1"/>
    <col min="5" max="5" width="16.125" customWidth="1"/>
    <col min="6" max="8" width="11.75" customWidth="1"/>
    <col min="9" max="9" width="12.75" customWidth="1"/>
    <col min="10" max="10" width="13.375" customWidth="1"/>
  </cols>
  <sheetData>
    <row r="1" spans="2:12" ht="14.95" thickBot="1" x14ac:dyDescent="0.3"/>
    <row r="2" spans="2:12" ht="19.7" thickBot="1" x14ac:dyDescent="0.4">
      <c r="C2" s="128" t="s">
        <v>242</v>
      </c>
    </row>
    <row r="3" spans="2:12" ht="19.7" thickBot="1" x14ac:dyDescent="0.4">
      <c r="B3" s="129" t="s">
        <v>243</v>
      </c>
      <c r="C3" s="130" t="s">
        <v>244</v>
      </c>
    </row>
    <row r="4" spans="2:12" ht="19.05" x14ac:dyDescent="0.35">
      <c r="C4" s="130" t="s">
        <v>245</v>
      </c>
    </row>
    <row r="5" spans="2:12" ht="19.05" x14ac:dyDescent="0.35">
      <c r="C5" s="130" t="s">
        <v>246</v>
      </c>
    </row>
    <row r="6" spans="2:12" ht="19.05" x14ac:dyDescent="0.35">
      <c r="C6" s="130" t="s">
        <v>247</v>
      </c>
    </row>
    <row r="7" spans="2:12" ht="19.05" x14ac:dyDescent="0.35">
      <c r="C7" s="130" t="s">
        <v>248</v>
      </c>
    </row>
    <row r="8" spans="2:12" ht="19.05" x14ac:dyDescent="0.35">
      <c r="C8" s="130" t="s">
        <v>249</v>
      </c>
    </row>
    <row r="9" spans="2:12" ht="19.05" x14ac:dyDescent="0.35">
      <c r="C9" s="130"/>
    </row>
    <row r="10" spans="2:12" ht="19.05" x14ac:dyDescent="0.35">
      <c r="C10" s="131" t="s">
        <v>250</v>
      </c>
    </row>
    <row r="12" spans="2:12" ht="19.05" x14ac:dyDescent="0.35">
      <c r="C12" s="132" t="s">
        <v>251</v>
      </c>
    </row>
    <row r="13" spans="2:12" ht="19.05" x14ac:dyDescent="0.35">
      <c r="C13" s="132" t="s">
        <v>232</v>
      </c>
    </row>
    <row r="14" spans="2:12" ht="19.05" x14ac:dyDescent="0.35">
      <c r="C14" s="132"/>
    </row>
    <row r="16" spans="2:12" ht="19.05" x14ac:dyDescent="0.35">
      <c r="C16" s="132"/>
      <c r="D16" s="137" t="s">
        <v>233</v>
      </c>
      <c r="E16" s="137" t="s">
        <v>234</v>
      </c>
      <c r="F16" s="137" t="s">
        <v>235</v>
      </c>
      <c r="H16" t="s">
        <v>236</v>
      </c>
      <c r="J16" t="s">
        <v>237</v>
      </c>
      <c r="L16" t="s">
        <v>252</v>
      </c>
    </row>
    <row r="17" spans="3:13" ht="19.05" x14ac:dyDescent="0.35">
      <c r="C17" s="132" t="s">
        <v>217</v>
      </c>
      <c r="H17" s="138"/>
      <c r="J17" s="138"/>
    </row>
    <row r="18" spans="3:13" ht="19.05" x14ac:dyDescent="0.35">
      <c r="C18" s="132" t="s">
        <v>218</v>
      </c>
      <c r="H18" s="138"/>
      <c r="J18" s="138"/>
    </row>
    <row r="19" spans="3:13" ht="19.05" x14ac:dyDescent="0.35">
      <c r="C19" s="132" t="s">
        <v>238</v>
      </c>
      <c r="D19" s="135">
        <v>100000</v>
      </c>
      <c r="F19" s="139"/>
      <c r="H19" s="138"/>
      <c r="J19" s="138"/>
      <c r="L19" s="138"/>
    </row>
    <row r="20" spans="3:13" ht="19.05" x14ac:dyDescent="0.35">
      <c r="C20" s="132"/>
      <c r="D20" s="135"/>
      <c r="F20" s="1"/>
      <c r="H20" s="140"/>
      <c r="J20" s="141"/>
      <c r="L20" s="148"/>
    </row>
    <row r="21" spans="3:13" ht="19.05" x14ac:dyDescent="0.35">
      <c r="C21" s="142"/>
      <c r="D21" s="143"/>
      <c r="E21" s="8"/>
      <c r="F21" s="144"/>
      <c r="G21" s="8"/>
      <c r="H21" s="145"/>
      <c r="I21" s="8"/>
      <c r="J21" s="8"/>
    </row>
    <row r="22" spans="3:13" ht="19.05" x14ac:dyDescent="0.35">
      <c r="C22" s="132" t="s">
        <v>240</v>
      </c>
      <c r="D22" s="135">
        <v>100000</v>
      </c>
      <c r="F22" s="139"/>
      <c r="H22" s="138"/>
      <c r="J22" s="138"/>
      <c r="L22" s="149"/>
      <c r="M22" s="1"/>
    </row>
    <row r="23" spans="3:13" ht="19.05" x14ac:dyDescent="0.35">
      <c r="C23" s="132"/>
      <c r="D23" s="135"/>
      <c r="F23" s="1"/>
      <c r="H23" s="140"/>
      <c r="J23" s="141"/>
    </row>
    <row r="24" spans="3:13" ht="19.05" x14ac:dyDescent="0.35">
      <c r="C24" s="142"/>
      <c r="D24" s="143"/>
      <c r="E24" s="8"/>
      <c r="F24" s="144"/>
      <c r="G24" s="8"/>
      <c r="H24" s="145"/>
      <c r="I24" s="8"/>
      <c r="J24" s="8"/>
    </row>
    <row r="25" spans="3:13" ht="19.05" x14ac:dyDescent="0.35">
      <c r="C25" s="132" t="s">
        <v>241</v>
      </c>
      <c r="D25" s="135">
        <v>100000</v>
      </c>
      <c r="F25" s="146"/>
      <c r="H25" s="82"/>
      <c r="J25" s="82"/>
      <c r="L25" s="82"/>
    </row>
    <row r="26" spans="3:13" x14ac:dyDescent="0.25">
      <c r="H26" s="43"/>
      <c r="J26" s="147"/>
      <c r="L26" s="15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1"/>
  <sheetViews>
    <sheetView zoomScale="90" zoomScaleNormal="90" workbookViewId="0">
      <selection activeCell="R26" sqref="R26"/>
    </sheetView>
  </sheetViews>
  <sheetFormatPr defaultRowHeight="14.3" x14ac:dyDescent="0.25"/>
  <cols>
    <col min="3" max="3" width="16" customWidth="1"/>
    <col min="4" max="4" width="12.375" customWidth="1"/>
    <col min="5" max="5" width="18.75" customWidth="1"/>
    <col min="6" max="8" width="11.75" customWidth="1"/>
    <col min="9" max="9" width="16.375" customWidth="1"/>
    <col min="10" max="10" width="10.875" customWidth="1"/>
    <col min="11" max="11" width="3.75" customWidth="1"/>
    <col min="12" max="13" width="10.75" customWidth="1"/>
  </cols>
  <sheetData>
    <row r="1" spans="2:13" ht="14.95" thickBot="1" x14ac:dyDescent="0.3"/>
    <row r="2" spans="2:13" ht="19.7" thickBot="1" x14ac:dyDescent="0.4">
      <c r="C2" s="128" t="s">
        <v>253</v>
      </c>
    </row>
    <row r="3" spans="2:13" ht="19.7" thickBot="1" x14ac:dyDescent="0.4">
      <c r="B3" s="129" t="s">
        <v>254</v>
      </c>
      <c r="C3" s="130" t="s">
        <v>255</v>
      </c>
    </row>
    <row r="4" spans="2:13" ht="19.05" x14ac:dyDescent="0.35">
      <c r="C4" s="130" t="s">
        <v>256</v>
      </c>
    </row>
    <row r="5" spans="2:13" ht="19.05" x14ac:dyDescent="0.35">
      <c r="C5" s="130" t="s">
        <v>257</v>
      </c>
    </row>
    <row r="6" spans="2:13" ht="19.05" x14ac:dyDescent="0.35">
      <c r="C6" s="130" t="s">
        <v>258</v>
      </c>
    </row>
    <row r="7" spans="2:13" ht="19.05" x14ac:dyDescent="0.35">
      <c r="D7" s="166"/>
      <c r="E7" s="167"/>
      <c r="F7" s="151" t="s">
        <v>259</v>
      </c>
      <c r="G7" s="151" t="s">
        <v>260</v>
      </c>
      <c r="H7" s="151" t="s">
        <v>261</v>
      </c>
      <c r="I7" s="151" t="s">
        <v>262</v>
      </c>
    </row>
    <row r="8" spans="2:13" ht="19.05" x14ac:dyDescent="0.35">
      <c r="D8" s="168" t="s">
        <v>263</v>
      </c>
      <c r="E8" s="168"/>
      <c r="F8" s="152" t="s">
        <v>264</v>
      </c>
      <c r="G8" s="152" t="s">
        <v>265</v>
      </c>
      <c r="H8" s="152" t="s">
        <v>265</v>
      </c>
      <c r="I8" s="152" t="s">
        <v>264</v>
      </c>
      <c r="L8" s="153" t="s">
        <v>266</v>
      </c>
      <c r="M8" s="154">
        <v>5</v>
      </c>
    </row>
    <row r="9" spans="2:13" ht="19.05" x14ac:dyDescent="0.35">
      <c r="D9" s="168" t="s">
        <v>267</v>
      </c>
      <c r="E9" s="168"/>
      <c r="F9" s="155">
        <v>1</v>
      </c>
      <c r="G9" s="155">
        <v>1.5</v>
      </c>
      <c r="H9" s="155">
        <v>2.5</v>
      </c>
      <c r="I9" s="155">
        <v>2.5</v>
      </c>
      <c r="L9" s="156"/>
      <c r="M9" s="154"/>
    </row>
    <row r="10" spans="2:13" ht="19.05" x14ac:dyDescent="0.35">
      <c r="D10" s="168" t="s">
        <v>268</v>
      </c>
      <c r="E10" s="168"/>
      <c r="F10" s="155">
        <v>0.5</v>
      </c>
      <c r="G10" s="155">
        <v>1</v>
      </c>
      <c r="H10" s="157">
        <v>0</v>
      </c>
      <c r="I10" s="155">
        <v>1</v>
      </c>
      <c r="L10" s="156"/>
      <c r="M10" s="154"/>
    </row>
    <row r="11" spans="2:13" ht="19.05" x14ac:dyDescent="0.35">
      <c r="D11" s="168" t="s">
        <v>269</v>
      </c>
      <c r="E11" s="168"/>
      <c r="F11" s="157">
        <v>5000</v>
      </c>
      <c r="G11" s="157">
        <v>3000</v>
      </c>
      <c r="H11" s="157">
        <v>1000</v>
      </c>
      <c r="I11" s="157">
        <v>1000</v>
      </c>
    </row>
    <row r="12" spans="2:13" x14ac:dyDescent="0.25">
      <c r="E12" s="158"/>
    </row>
    <row r="13" spans="2:13" ht="19.05" x14ac:dyDescent="0.35">
      <c r="D13" s="130" t="s">
        <v>270</v>
      </c>
      <c r="E13" s="159"/>
      <c r="F13" s="160"/>
      <c r="G13" s="160"/>
    </row>
    <row r="14" spans="2:13" ht="19.05" x14ac:dyDescent="0.35">
      <c r="D14" s="130" t="s">
        <v>271</v>
      </c>
      <c r="E14" s="159"/>
      <c r="F14" s="160"/>
      <c r="G14" s="160"/>
    </row>
    <row r="15" spans="2:13" ht="19.05" x14ac:dyDescent="0.35">
      <c r="D15" s="160"/>
      <c r="E15" s="130" t="s">
        <v>272</v>
      </c>
      <c r="F15" s="160"/>
      <c r="H15" s="161">
        <v>10</v>
      </c>
    </row>
    <row r="16" spans="2:13" ht="19.05" x14ac:dyDescent="0.35">
      <c r="D16" s="160"/>
      <c r="E16" s="130" t="s">
        <v>273</v>
      </c>
      <c r="F16" s="160"/>
      <c r="H16" s="161">
        <v>12</v>
      </c>
    </row>
    <row r="17" spans="3:5" x14ac:dyDescent="0.25">
      <c r="E17" s="158"/>
    </row>
    <row r="18" spans="3:5" ht="19.05" x14ac:dyDescent="0.35">
      <c r="C18" s="131" t="s">
        <v>274</v>
      </c>
    </row>
    <row r="20" spans="3:5" ht="19.05" x14ac:dyDescent="0.35">
      <c r="C20" s="132" t="s">
        <v>275</v>
      </c>
    </row>
    <row r="21" spans="3:5" ht="19.05" x14ac:dyDescent="0.35">
      <c r="C21" s="132" t="s">
        <v>232</v>
      </c>
    </row>
  </sheetData>
  <mergeCells count="5">
    <mergeCell ref="D7:E7"/>
    <mergeCell ref="D8:E8"/>
    <mergeCell ref="D9:E9"/>
    <mergeCell ref="D10:E10"/>
    <mergeCell ref="D11:E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8"/>
  <sheetViews>
    <sheetView workbookViewId="0">
      <selection activeCell="D27" sqref="D27"/>
    </sheetView>
  </sheetViews>
  <sheetFormatPr defaultRowHeight="14.3" x14ac:dyDescent="0.25"/>
  <cols>
    <col min="2" max="2" width="23.625" customWidth="1"/>
    <col min="3" max="3" width="12.625" customWidth="1"/>
    <col min="4" max="4" width="47.375" customWidth="1"/>
    <col min="5" max="5" width="5.375" customWidth="1"/>
  </cols>
  <sheetData>
    <row r="1" spans="2:5" ht="14.95" thickBot="1" x14ac:dyDescent="0.3"/>
    <row r="2" spans="2:5" ht="19.7" thickBot="1" x14ac:dyDescent="0.4">
      <c r="B2" s="128" t="s">
        <v>276</v>
      </c>
    </row>
    <row r="4" spans="2:5" ht="16.3" x14ac:dyDescent="0.3">
      <c r="B4" s="162" t="s">
        <v>277</v>
      </c>
      <c r="C4" s="162"/>
      <c r="D4" s="162"/>
      <c r="E4" s="162"/>
    </row>
    <row r="5" spans="2:5" ht="16.3" x14ac:dyDescent="0.3">
      <c r="B5" s="162"/>
      <c r="C5" s="162"/>
      <c r="D5" s="162"/>
      <c r="E5" s="162"/>
    </row>
    <row r="6" spans="2:5" x14ac:dyDescent="0.25">
      <c r="C6" t="s">
        <v>278</v>
      </c>
    </row>
    <row r="7" spans="2:5" ht="16.3" x14ac:dyDescent="0.3">
      <c r="B7" s="163"/>
      <c r="C7" s="162" t="s">
        <v>279</v>
      </c>
      <c r="D7" s="162"/>
    </row>
    <row r="8" spans="2:5" ht="16.3" x14ac:dyDescent="0.3">
      <c r="B8" s="163"/>
      <c r="C8" s="163" t="s">
        <v>139</v>
      </c>
      <c r="D8" s="162" t="s">
        <v>280</v>
      </c>
    </row>
    <row r="9" spans="2:5" ht="16.3" x14ac:dyDescent="0.3">
      <c r="B9" s="163"/>
      <c r="C9" s="163" t="s">
        <v>141</v>
      </c>
      <c r="D9" s="162" t="s">
        <v>281</v>
      </c>
    </row>
    <row r="10" spans="2:5" ht="16.3" x14ac:dyDescent="0.3">
      <c r="B10" s="163"/>
      <c r="C10" s="163" t="s">
        <v>143</v>
      </c>
      <c r="D10" s="162" t="s">
        <v>282</v>
      </c>
    </row>
    <row r="11" spans="2:5" ht="16.3" x14ac:dyDescent="0.3">
      <c r="B11" s="163"/>
      <c r="C11" s="163" t="s">
        <v>146</v>
      </c>
      <c r="D11" s="162" t="s">
        <v>283</v>
      </c>
    </row>
    <row r="12" spans="2:5" ht="16.3" x14ac:dyDescent="0.3">
      <c r="B12" s="163"/>
      <c r="C12" s="162"/>
      <c r="D12" s="163"/>
      <c r="E12" s="162"/>
    </row>
    <row r="13" spans="2:5" ht="16.3" x14ac:dyDescent="0.3">
      <c r="B13" s="163" t="s">
        <v>284</v>
      </c>
      <c r="C13" s="162" t="s">
        <v>285</v>
      </c>
      <c r="D13" s="163"/>
      <c r="E13" s="162"/>
    </row>
    <row r="14" spans="2:5" ht="16.3" x14ac:dyDescent="0.3">
      <c r="B14" s="163"/>
      <c r="C14" s="162" t="s">
        <v>286</v>
      </c>
      <c r="D14" s="163"/>
      <c r="E14" s="162"/>
    </row>
    <row r="15" spans="2:5" ht="16.3" x14ac:dyDescent="0.3">
      <c r="B15" s="163"/>
      <c r="C15" s="162"/>
      <c r="D15" s="163"/>
      <c r="E15" s="162"/>
    </row>
    <row r="16" spans="2:5" ht="16.3" x14ac:dyDescent="0.3">
      <c r="B16" s="163"/>
      <c r="C16" s="162" t="s">
        <v>287</v>
      </c>
      <c r="D16" s="164" t="s">
        <v>259</v>
      </c>
      <c r="E16" s="162" t="s">
        <v>288</v>
      </c>
    </row>
    <row r="17" spans="2:6" ht="16.3" x14ac:dyDescent="0.3">
      <c r="B17" s="163"/>
      <c r="C17" s="162"/>
      <c r="D17" s="164"/>
      <c r="E17" s="162"/>
    </row>
    <row r="18" spans="2:6" ht="16.3" x14ac:dyDescent="0.3">
      <c r="B18" s="163"/>
      <c r="C18" s="162" t="s">
        <v>289</v>
      </c>
      <c r="D18" s="164" t="s">
        <v>290</v>
      </c>
      <c r="E18" s="162" t="s">
        <v>291</v>
      </c>
    </row>
    <row r="19" spans="2:6" ht="16.3" x14ac:dyDescent="0.3">
      <c r="B19" s="163"/>
      <c r="C19" s="162"/>
      <c r="D19" s="163"/>
      <c r="E19" s="162" t="s">
        <v>292</v>
      </c>
    </row>
    <row r="20" spans="2:6" ht="16.3" x14ac:dyDescent="0.3">
      <c r="B20" s="163"/>
      <c r="C20" s="162"/>
      <c r="D20" s="163"/>
      <c r="E20" s="162"/>
      <c r="F20" t="s">
        <v>293</v>
      </c>
    </row>
    <row r="21" spans="2:6" ht="16.3" x14ac:dyDescent="0.3">
      <c r="B21" s="163"/>
      <c r="D21" s="163"/>
      <c r="E21" s="162"/>
    </row>
    <row r="22" spans="2:6" ht="16.3" x14ac:dyDescent="0.3">
      <c r="B22" s="163"/>
      <c r="C22" s="162" t="s">
        <v>294</v>
      </c>
      <c r="D22" s="164" t="s">
        <v>295</v>
      </c>
      <c r="E22" s="162" t="s">
        <v>296</v>
      </c>
    </row>
    <row r="23" spans="2:6" ht="16.3" x14ac:dyDescent="0.3">
      <c r="B23" s="163"/>
      <c r="C23" s="162"/>
      <c r="D23" s="163"/>
      <c r="E23" s="162"/>
      <c r="F23" t="s">
        <v>297</v>
      </c>
    </row>
    <row r="24" spans="2:6" ht="16.3" x14ac:dyDescent="0.3">
      <c r="B24" s="163"/>
      <c r="C24" s="162"/>
      <c r="D24" s="163"/>
      <c r="E24" s="162" t="s">
        <v>298</v>
      </c>
    </row>
    <row r="25" spans="2:6" ht="16.3" x14ac:dyDescent="0.3">
      <c r="B25" s="163"/>
      <c r="C25" s="162"/>
      <c r="D25" s="163"/>
      <c r="E25" s="162"/>
      <c r="F25" t="s">
        <v>299</v>
      </c>
    </row>
    <row r="26" spans="2:6" ht="16.3" x14ac:dyDescent="0.3">
      <c r="B26" s="163"/>
      <c r="C26" s="162"/>
      <c r="D26" s="163"/>
      <c r="E26" s="162"/>
      <c r="F26" t="s">
        <v>300</v>
      </c>
    </row>
    <row r="27" spans="2:6" ht="16.3" x14ac:dyDescent="0.3">
      <c r="B27" s="163"/>
      <c r="C27" s="162"/>
      <c r="D27" s="163"/>
      <c r="E27" s="162" t="s">
        <v>301</v>
      </c>
    </row>
    <row r="28" spans="2:6" ht="16.3" x14ac:dyDescent="0.3">
      <c r="B28" s="163"/>
      <c r="C28" s="162"/>
      <c r="D28" s="163"/>
      <c r="E28" s="162"/>
      <c r="F28" t="s">
        <v>302</v>
      </c>
    </row>
    <row r="29" spans="2:6" ht="16.3" x14ac:dyDescent="0.3">
      <c r="B29" s="163"/>
      <c r="C29" s="162"/>
      <c r="D29" s="163"/>
      <c r="E29" s="162"/>
    </row>
    <row r="30" spans="2:6" ht="16.3" x14ac:dyDescent="0.3">
      <c r="B30" s="163"/>
      <c r="C30" s="162" t="s">
        <v>303</v>
      </c>
      <c r="D30" s="164" t="s">
        <v>304</v>
      </c>
      <c r="E30" s="162" t="s">
        <v>305</v>
      </c>
    </row>
    <row r="31" spans="2:6" ht="16.3" x14ac:dyDescent="0.3">
      <c r="B31" s="163"/>
      <c r="C31" s="162"/>
      <c r="D31" s="163"/>
      <c r="E31" s="162" t="s">
        <v>306</v>
      </c>
    </row>
    <row r="32" spans="2:6" ht="16.3" x14ac:dyDescent="0.3">
      <c r="B32" s="163"/>
      <c r="C32" s="162"/>
      <c r="D32" s="163"/>
      <c r="E32" s="162" t="s">
        <v>307</v>
      </c>
    </row>
    <row r="33" spans="2:5" ht="16.3" x14ac:dyDescent="0.3">
      <c r="B33" s="163"/>
      <c r="C33" s="162"/>
      <c r="D33" s="163"/>
      <c r="E33" s="162"/>
    </row>
    <row r="34" spans="2:5" ht="16.3" x14ac:dyDescent="0.3">
      <c r="B34" s="163"/>
      <c r="C34" s="162"/>
      <c r="D34" s="163"/>
      <c r="E34" s="162"/>
    </row>
    <row r="35" spans="2:5" ht="16.3" x14ac:dyDescent="0.3">
      <c r="B35" s="163" t="s">
        <v>308</v>
      </c>
      <c r="C35" s="162" t="s">
        <v>309</v>
      </c>
      <c r="D35" s="163"/>
      <c r="E35" s="162"/>
    </row>
    <row r="36" spans="2:5" ht="16.3" x14ac:dyDescent="0.3">
      <c r="B36" s="163"/>
      <c r="C36" s="162" t="s">
        <v>286</v>
      </c>
      <c r="D36" s="163"/>
      <c r="E36" s="162"/>
    </row>
    <row r="37" spans="2:5" ht="16.3" x14ac:dyDescent="0.3">
      <c r="B37" s="163"/>
      <c r="C37" s="162"/>
      <c r="D37" s="163"/>
      <c r="E37" s="162" t="s">
        <v>310</v>
      </c>
    </row>
    <row r="38" spans="2:5" ht="16.3" x14ac:dyDescent="0.3">
      <c r="B38" s="163"/>
      <c r="C38" s="162"/>
      <c r="D38" s="163"/>
      <c r="E38" s="162" t="s">
        <v>311</v>
      </c>
    </row>
    <row r="39" spans="2:5" ht="16.3" x14ac:dyDescent="0.3">
      <c r="B39" s="163"/>
      <c r="C39" s="162"/>
      <c r="D39" s="163"/>
      <c r="E39" s="162" t="s">
        <v>312</v>
      </c>
    </row>
    <row r="40" spans="2:5" ht="16.3" x14ac:dyDescent="0.3">
      <c r="B40" s="163"/>
      <c r="C40" s="162"/>
      <c r="D40" s="163"/>
      <c r="E40" s="162" t="s">
        <v>313</v>
      </c>
    </row>
    <row r="41" spans="2:5" ht="16.3" x14ac:dyDescent="0.3">
      <c r="B41" s="163"/>
      <c r="C41" s="162"/>
      <c r="D41" s="163"/>
      <c r="E41" s="162"/>
    </row>
    <row r="42" spans="2:5" ht="16.3" x14ac:dyDescent="0.3">
      <c r="B42" s="163" t="s">
        <v>314</v>
      </c>
      <c r="C42" s="162" t="s">
        <v>315</v>
      </c>
      <c r="D42" s="163"/>
      <c r="E42" s="162"/>
    </row>
    <row r="43" spans="2:5" ht="16.3" x14ac:dyDescent="0.3">
      <c r="B43" s="163"/>
      <c r="C43" s="162" t="s">
        <v>286</v>
      </c>
      <c r="D43" s="163"/>
      <c r="E43" s="162"/>
    </row>
    <row r="44" spans="2:5" ht="16.3" x14ac:dyDescent="0.3">
      <c r="B44" s="163"/>
      <c r="C44" s="162"/>
      <c r="D44" s="162"/>
      <c r="E44" s="162" t="s">
        <v>316</v>
      </c>
    </row>
    <row r="45" spans="2:5" ht="16.3" x14ac:dyDescent="0.3">
      <c r="B45" s="163"/>
      <c r="C45" s="162"/>
      <c r="D45" s="162"/>
      <c r="E45" s="162" t="s">
        <v>317</v>
      </c>
    </row>
    <row r="46" spans="2:5" ht="16.3" x14ac:dyDescent="0.3">
      <c r="B46" s="163"/>
      <c r="C46" s="162"/>
      <c r="D46" s="163"/>
      <c r="E46" s="162" t="s">
        <v>318</v>
      </c>
    </row>
    <row r="47" spans="2:5" ht="16.3" x14ac:dyDescent="0.3">
      <c r="B47" s="163"/>
      <c r="C47" s="162"/>
      <c r="D47" s="163"/>
      <c r="E47" s="162"/>
    </row>
    <row r="48" spans="2:5" ht="16.3" x14ac:dyDescent="0.3">
      <c r="B48" s="163" t="s">
        <v>319</v>
      </c>
      <c r="C48" s="162" t="s">
        <v>320</v>
      </c>
      <c r="D48" s="163"/>
      <c r="E48" s="162"/>
    </row>
    <row r="49" spans="2:6" ht="16.3" x14ac:dyDescent="0.3">
      <c r="B49" s="163"/>
      <c r="C49" s="162" t="s">
        <v>286</v>
      </c>
      <c r="D49" s="163"/>
      <c r="E49" s="162"/>
    </row>
    <row r="50" spans="2:6" ht="16.3" x14ac:dyDescent="0.3">
      <c r="B50" s="163"/>
      <c r="C50" s="162"/>
      <c r="D50" s="162"/>
      <c r="E50" s="162" t="s">
        <v>321</v>
      </c>
    </row>
    <row r="51" spans="2:6" ht="16.3" x14ac:dyDescent="0.3">
      <c r="B51" s="163"/>
      <c r="C51" s="162"/>
      <c r="D51" s="162"/>
      <c r="E51" s="162" t="s">
        <v>322</v>
      </c>
    </row>
    <row r="52" spans="2:6" x14ac:dyDescent="0.25">
      <c r="B52" s="165"/>
      <c r="E52" t="s">
        <v>323</v>
      </c>
    </row>
    <row r="53" spans="2:6" ht="16.3" x14ac:dyDescent="0.3">
      <c r="E53" s="162" t="s">
        <v>324</v>
      </c>
    </row>
    <row r="54" spans="2:6" ht="16.3" x14ac:dyDescent="0.3">
      <c r="E54" s="162" t="s">
        <v>325</v>
      </c>
    </row>
    <row r="55" spans="2:6" x14ac:dyDescent="0.25">
      <c r="F55" t="s">
        <v>326</v>
      </c>
    </row>
    <row r="56" spans="2:6" x14ac:dyDescent="0.25">
      <c r="F56" t="s">
        <v>327</v>
      </c>
    </row>
    <row r="57" spans="2:6" x14ac:dyDescent="0.25">
      <c r="F57" t="s">
        <v>328</v>
      </c>
    </row>
    <row r="58" spans="2:6" x14ac:dyDescent="0.25">
      <c r="F58" t="s">
        <v>329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27"/>
  <sheetViews>
    <sheetView workbookViewId="0">
      <selection activeCell="O29" sqref="O29"/>
    </sheetView>
  </sheetViews>
  <sheetFormatPr defaultRowHeight="14.3" x14ac:dyDescent="0.25"/>
  <cols>
    <col min="1" max="1" width="2.125" customWidth="1"/>
    <col min="2" max="2" width="22.125" customWidth="1"/>
    <col min="3" max="3" width="13.125" bestFit="1" customWidth="1"/>
    <col min="4" max="4" width="13" bestFit="1" customWidth="1"/>
    <col min="5" max="5" width="9.375" customWidth="1"/>
    <col min="6" max="6" width="6.25" customWidth="1"/>
    <col min="7" max="7" width="12.125" bestFit="1" customWidth="1"/>
    <col min="8" max="8" width="4.25" bestFit="1" customWidth="1"/>
    <col min="9" max="9" width="13" bestFit="1" customWidth="1"/>
    <col min="10" max="10" width="4.25" bestFit="1" customWidth="1"/>
    <col min="11" max="11" width="13.75" customWidth="1"/>
    <col min="12" max="12" width="7.375" customWidth="1"/>
    <col min="13" max="13" width="9.625" bestFit="1" customWidth="1"/>
    <col min="14" max="14" width="4.25" bestFit="1" customWidth="1"/>
    <col min="15" max="15" width="12.375" customWidth="1"/>
    <col min="17" max="17" width="1.875" bestFit="1" customWidth="1"/>
  </cols>
  <sheetData>
    <row r="1" spans="2:26" x14ac:dyDescent="0.25">
      <c r="B1" s="1" t="s">
        <v>33</v>
      </c>
    </row>
    <row r="2" spans="2:26" ht="7.5" customHeight="1" x14ac:dyDescent="0.25">
      <c r="B2" s="1"/>
    </row>
    <row r="3" spans="2:26" x14ac:dyDescent="0.25">
      <c r="B3" s="44"/>
      <c r="C3" s="44" t="s">
        <v>34</v>
      </c>
      <c r="D3" s="44" t="s">
        <v>35</v>
      </c>
      <c r="E3" s="1" t="s">
        <v>36</v>
      </c>
      <c r="Q3" s="15"/>
      <c r="R3" s="45" t="s">
        <v>37</v>
      </c>
    </row>
    <row r="4" spans="2:26" x14ac:dyDescent="0.25">
      <c r="B4" s="44" t="s">
        <v>38</v>
      </c>
      <c r="C4" s="44">
        <v>250</v>
      </c>
      <c r="D4" s="44">
        <v>600</v>
      </c>
      <c r="E4" s="1">
        <f>C4+D4</f>
        <v>850</v>
      </c>
      <c r="Q4" s="11">
        <v>1</v>
      </c>
      <c r="R4" s="46" t="s">
        <v>39</v>
      </c>
      <c r="S4" s="24"/>
      <c r="T4" s="24"/>
      <c r="U4" s="24"/>
      <c r="V4" s="24"/>
      <c r="W4" s="24"/>
      <c r="X4" s="24"/>
    </row>
    <row r="5" spans="2:26" x14ac:dyDescent="0.25">
      <c r="B5" s="44" t="s">
        <v>40</v>
      </c>
      <c r="C5" s="44">
        <v>60000</v>
      </c>
      <c r="D5" s="44">
        <v>72000</v>
      </c>
      <c r="E5" s="1">
        <f>C5+D5</f>
        <v>132000</v>
      </c>
      <c r="Q5" s="11">
        <v>2</v>
      </c>
      <c r="R5" s="46" t="s">
        <v>41</v>
      </c>
      <c r="S5" s="24"/>
      <c r="T5" s="24"/>
      <c r="U5" s="24"/>
      <c r="V5" s="24"/>
      <c r="W5" s="24"/>
      <c r="X5" s="24"/>
    </row>
    <row r="6" spans="2:26" x14ac:dyDescent="0.25">
      <c r="B6" s="44" t="s">
        <v>42</v>
      </c>
      <c r="C6" s="44">
        <v>0.2</v>
      </c>
      <c r="D6" s="44">
        <v>0.3</v>
      </c>
      <c r="Q6" s="24">
        <v>3</v>
      </c>
      <c r="R6" s="46" t="s">
        <v>43</v>
      </c>
      <c r="S6" s="24"/>
      <c r="T6" s="24"/>
      <c r="U6" s="24"/>
      <c r="V6" s="24"/>
      <c r="W6" s="24"/>
      <c r="X6" s="24"/>
    </row>
    <row r="7" spans="2:26" x14ac:dyDescent="0.25">
      <c r="B7" s="44" t="s">
        <v>44</v>
      </c>
      <c r="C7" s="44">
        <v>0.1</v>
      </c>
      <c r="D7" s="44">
        <v>0.15</v>
      </c>
      <c r="Q7" s="24">
        <v>4</v>
      </c>
      <c r="R7" s="46" t="s">
        <v>45</v>
      </c>
      <c r="S7" s="24"/>
      <c r="T7" s="24"/>
      <c r="U7" s="24"/>
      <c r="V7" s="24"/>
      <c r="W7" s="24"/>
      <c r="X7" s="24"/>
    </row>
    <row r="8" spans="2:26" ht="14.95" thickBot="1" x14ac:dyDescent="0.3">
      <c r="B8" s="44" t="s">
        <v>46</v>
      </c>
      <c r="C8" s="47">
        <v>3.5</v>
      </c>
      <c r="D8" s="47">
        <v>6</v>
      </c>
      <c r="Q8" s="24">
        <v>5</v>
      </c>
      <c r="R8" s="46" t="s">
        <v>47</v>
      </c>
      <c r="S8" s="24"/>
      <c r="T8" s="24"/>
      <c r="U8" s="24"/>
      <c r="V8" s="24"/>
      <c r="W8" s="24"/>
      <c r="X8" s="24"/>
    </row>
    <row r="9" spans="2:26" ht="14.95" thickBot="1" x14ac:dyDescent="0.3">
      <c r="F9" s="169" t="s">
        <v>48</v>
      </c>
      <c r="G9" s="170"/>
      <c r="H9" s="169" t="s">
        <v>49</v>
      </c>
      <c r="I9" s="170"/>
      <c r="J9" s="169" t="s">
        <v>50</v>
      </c>
      <c r="K9" s="170"/>
      <c r="L9" s="169" t="s">
        <v>51</v>
      </c>
      <c r="M9" s="170"/>
      <c r="Q9" s="24">
        <v>6</v>
      </c>
      <c r="R9" s="46" t="s">
        <v>52</v>
      </c>
      <c r="S9" s="24"/>
      <c r="T9" s="24"/>
      <c r="U9" s="24"/>
      <c r="V9" s="24"/>
      <c r="W9" s="24"/>
      <c r="X9" s="48"/>
      <c r="Y9" s="49"/>
      <c r="Z9" s="49"/>
    </row>
    <row r="10" spans="2:26" x14ac:dyDescent="0.25">
      <c r="B10" s="50" t="s">
        <v>53</v>
      </c>
      <c r="C10" s="51"/>
      <c r="D10" s="52" t="s">
        <v>54</v>
      </c>
      <c r="E10" s="8"/>
      <c r="F10" s="171" t="s">
        <v>55</v>
      </c>
      <c r="G10" s="172"/>
      <c r="H10" s="171" t="s">
        <v>56</v>
      </c>
      <c r="I10" s="172"/>
      <c r="J10" s="171" t="s">
        <v>57</v>
      </c>
      <c r="K10" s="172"/>
      <c r="L10" s="171" t="s">
        <v>58</v>
      </c>
      <c r="M10" s="172"/>
      <c r="N10" s="53" t="s">
        <v>59</v>
      </c>
      <c r="O10" s="53" t="s">
        <v>59</v>
      </c>
      <c r="Q10" s="24">
        <v>7</v>
      </c>
      <c r="R10" s="54" t="s">
        <v>60</v>
      </c>
      <c r="S10" s="24"/>
      <c r="T10" s="24"/>
      <c r="U10" s="24"/>
      <c r="V10" s="24"/>
      <c r="W10" s="24"/>
      <c r="X10" s="55"/>
      <c r="Y10" s="49"/>
      <c r="Z10" s="49"/>
    </row>
    <row r="11" spans="2:26" x14ac:dyDescent="0.25">
      <c r="B11" s="56" t="s">
        <v>61</v>
      </c>
      <c r="C11" s="57">
        <v>850000</v>
      </c>
      <c r="D11" s="173" t="s">
        <v>62</v>
      </c>
      <c r="E11" s="174"/>
      <c r="F11" s="58">
        <v>0.15</v>
      </c>
      <c r="G11" s="59"/>
      <c r="H11" s="58">
        <v>0.55000000000000004</v>
      </c>
      <c r="I11" s="59"/>
      <c r="J11" s="58">
        <v>0.2</v>
      </c>
      <c r="K11" s="59"/>
      <c r="L11" s="58">
        <v>0.1</v>
      </c>
      <c r="M11" s="59"/>
      <c r="N11" s="60">
        <f>F11+H11+J11+L11</f>
        <v>1.0000000000000002</v>
      </c>
      <c r="O11" s="61">
        <f>G11+I11+K11+M11</f>
        <v>0</v>
      </c>
      <c r="Q11" s="24"/>
      <c r="R11" s="24"/>
      <c r="S11" s="24"/>
      <c r="T11" s="24"/>
      <c r="U11" s="24"/>
      <c r="V11" s="24"/>
      <c r="W11" s="24"/>
      <c r="X11" s="55"/>
      <c r="Y11" s="49"/>
      <c r="Z11" s="49"/>
    </row>
    <row r="12" spans="2:26" x14ac:dyDescent="0.25">
      <c r="B12" s="56" t="s">
        <v>63</v>
      </c>
      <c r="C12" s="57">
        <v>150000</v>
      </c>
      <c r="D12" s="173" t="s">
        <v>64</v>
      </c>
      <c r="E12" s="174"/>
      <c r="F12" s="58">
        <v>0.2</v>
      </c>
      <c r="G12" s="59"/>
      <c r="H12" s="58">
        <v>0.6</v>
      </c>
      <c r="I12" s="59"/>
      <c r="J12" s="58">
        <v>0.2</v>
      </c>
      <c r="K12" s="59"/>
      <c r="L12" s="58">
        <v>0</v>
      </c>
      <c r="M12" s="59"/>
      <c r="N12" s="60">
        <f>F12+H12+J12+L12</f>
        <v>1</v>
      </c>
      <c r="O12" s="61">
        <f t="shared" ref="O12:O13" si="0">G12+I12+K12+M12</f>
        <v>0</v>
      </c>
      <c r="Q12" s="24"/>
      <c r="R12" s="24"/>
      <c r="S12" s="24"/>
      <c r="T12" s="24"/>
      <c r="U12" s="24"/>
      <c r="V12" s="24"/>
      <c r="W12" s="24"/>
      <c r="X12" s="55"/>
      <c r="Y12" s="49"/>
      <c r="Z12" s="49"/>
    </row>
    <row r="13" spans="2:26" ht="14.95" thickBot="1" x14ac:dyDescent="0.3">
      <c r="B13" s="56" t="s">
        <v>65</v>
      </c>
      <c r="C13" s="57">
        <v>550000</v>
      </c>
      <c r="D13" s="173" t="s">
        <v>64</v>
      </c>
      <c r="E13" s="174"/>
      <c r="F13" s="58">
        <v>0</v>
      </c>
      <c r="G13" s="59"/>
      <c r="H13" s="58">
        <v>0.8</v>
      </c>
      <c r="I13" s="59"/>
      <c r="J13" s="58">
        <v>0.2</v>
      </c>
      <c r="K13" s="59"/>
      <c r="L13" s="58">
        <v>0</v>
      </c>
      <c r="M13" s="59"/>
      <c r="N13" s="60">
        <f>F13+H13+J13+L13</f>
        <v>1</v>
      </c>
      <c r="O13" s="61">
        <f t="shared" si="0"/>
        <v>0</v>
      </c>
      <c r="Q13" s="24"/>
      <c r="R13" s="24"/>
      <c r="S13" s="24"/>
      <c r="T13" s="24"/>
      <c r="U13" s="24"/>
      <c r="V13" s="24"/>
      <c r="W13" s="24"/>
      <c r="X13" s="55"/>
      <c r="Y13" s="49"/>
      <c r="Z13" s="49"/>
    </row>
    <row r="14" spans="2:26" ht="14.95" thickBot="1" x14ac:dyDescent="0.3">
      <c r="B14" s="62" t="s">
        <v>36</v>
      </c>
      <c r="C14" s="63">
        <f>SUM(C11:C13)</f>
        <v>1550000</v>
      </c>
      <c r="D14" s="175" t="s">
        <v>66</v>
      </c>
      <c r="E14" s="176"/>
      <c r="F14" s="64"/>
      <c r="G14" s="65"/>
      <c r="H14" s="66"/>
      <c r="I14" s="65"/>
      <c r="J14" s="67"/>
      <c r="K14" s="65"/>
      <c r="L14" s="67"/>
      <c r="M14" s="65"/>
      <c r="O14" s="68">
        <f>SUM(O11:O13)</f>
        <v>0</v>
      </c>
      <c r="Q14" s="24"/>
      <c r="R14" s="24"/>
      <c r="S14" s="24"/>
      <c r="T14" s="24"/>
      <c r="U14" s="24"/>
      <c r="V14" s="24"/>
      <c r="W14" s="24"/>
      <c r="X14" s="55"/>
      <c r="Y14" s="49"/>
      <c r="Z14" s="69"/>
    </row>
    <row r="15" spans="2:26" ht="14.95" thickBot="1" x14ac:dyDescent="0.3">
      <c r="Q15" s="24"/>
      <c r="R15" s="24"/>
      <c r="S15" s="24"/>
      <c r="T15" s="24"/>
      <c r="U15" s="24"/>
      <c r="V15" s="24"/>
      <c r="W15" s="24"/>
      <c r="X15" s="55"/>
      <c r="Y15" s="49"/>
      <c r="Z15" s="8"/>
    </row>
    <row r="16" spans="2:26" ht="14.95" thickBot="1" x14ac:dyDescent="0.3">
      <c r="E16" s="177" t="s">
        <v>67</v>
      </c>
      <c r="F16" s="177"/>
      <c r="G16" s="70" t="s">
        <v>68</v>
      </c>
      <c r="H16" s="178" t="s">
        <v>69</v>
      </c>
      <c r="I16" s="179"/>
      <c r="J16" s="178" t="s">
        <v>70</v>
      </c>
      <c r="K16" s="179"/>
      <c r="L16" s="178" t="s">
        <v>71</v>
      </c>
      <c r="M16" s="179"/>
      <c r="Q16" s="24"/>
      <c r="R16" s="24"/>
      <c r="S16" s="24"/>
      <c r="T16" s="24"/>
      <c r="U16" s="24"/>
      <c r="V16" s="24"/>
      <c r="W16" s="24"/>
      <c r="X16" s="55"/>
      <c r="Y16" s="49"/>
      <c r="Z16" s="71"/>
    </row>
    <row r="17" spans="3:26" ht="14.95" thickBot="1" x14ac:dyDescent="0.3">
      <c r="C17" s="180" t="s">
        <v>72</v>
      </c>
      <c r="D17" s="180"/>
      <c r="E17" s="180"/>
      <c r="F17" s="181"/>
      <c r="G17" s="72">
        <f>C4+D4</f>
        <v>850</v>
      </c>
      <c r="H17" s="182">
        <f>C5+D5</f>
        <v>132000</v>
      </c>
      <c r="I17" s="182"/>
      <c r="J17" s="183">
        <f>(C6*C5)+(D6*D5)</f>
        <v>33600</v>
      </c>
      <c r="K17" s="184"/>
      <c r="L17" s="185">
        <f>(C7*C5)+(D7*D5)</f>
        <v>16800</v>
      </c>
      <c r="M17" s="184"/>
      <c r="Q17" s="45"/>
      <c r="R17" s="45"/>
      <c r="S17" s="45"/>
      <c r="T17" s="73"/>
      <c r="U17" s="45"/>
      <c r="V17" s="73"/>
      <c r="W17" s="24"/>
      <c r="X17" s="74"/>
      <c r="Z17" s="8"/>
    </row>
    <row r="18" spans="3:26" ht="14.95" thickBot="1" x14ac:dyDescent="0.3">
      <c r="E18" s="177" t="s">
        <v>73</v>
      </c>
      <c r="F18" s="177"/>
      <c r="G18" s="75"/>
      <c r="H18" s="190"/>
      <c r="I18" s="190"/>
      <c r="J18" s="191"/>
      <c r="K18" s="192"/>
      <c r="L18" s="190"/>
      <c r="M18" s="192"/>
      <c r="Q18" s="45"/>
      <c r="R18" s="24"/>
      <c r="S18" s="24"/>
      <c r="T18" s="76"/>
      <c r="U18" s="45"/>
      <c r="V18" s="76"/>
      <c r="W18" s="24"/>
      <c r="X18" s="24"/>
      <c r="Z18" s="69"/>
    </row>
    <row r="19" spans="3:26" x14ac:dyDescent="0.25">
      <c r="G19" s="77" t="s">
        <v>74</v>
      </c>
      <c r="H19" s="193" t="s">
        <v>75</v>
      </c>
      <c r="I19" s="193"/>
      <c r="J19" s="193" t="s">
        <v>18</v>
      </c>
      <c r="K19" s="193"/>
      <c r="L19" s="193" t="s">
        <v>18</v>
      </c>
      <c r="M19" s="193"/>
      <c r="Q19" s="24"/>
      <c r="R19" s="24"/>
      <c r="S19" s="24"/>
      <c r="T19" s="24"/>
      <c r="U19" s="24"/>
      <c r="V19" s="24"/>
      <c r="W19" s="24"/>
      <c r="X19" s="24"/>
      <c r="Z19" s="8"/>
    </row>
    <row r="20" spans="3:26" ht="14.95" thickBot="1" x14ac:dyDescent="0.3">
      <c r="G20" s="78"/>
      <c r="H20" s="78"/>
      <c r="I20" s="78"/>
      <c r="J20" s="78"/>
      <c r="K20" s="78"/>
      <c r="L20" s="78"/>
      <c r="M20" s="78"/>
      <c r="Q20" s="24"/>
      <c r="R20" s="24"/>
      <c r="S20" s="24"/>
      <c r="T20" s="24"/>
      <c r="U20" s="24"/>
      <c r="V20" s="24"/>
      <c r="W20" s="24"/>
      <c r="X20" s="24"/>
      <c r="Z20" s="8"/>
    </row>
    <row r="21" spans="3:26" ht="14.95" thickBot="1" x14ac:dyDescent="0.3">
      <c r="E21" s="194" t="s">
        <v>76</v>
      </c>
      <c r="F21" s="195"/>
      <c r="G21" s="196" t="s">
        <v>77</v>
      </c>
      <c r="H21" s="197"/>
      <c r="I21" s="197"/>
      <c r="J21" s="197"/>
      <c r="K21" s="197"/>
      <c r="L21" s="197"/>
      <c r="M21" s="198"/>
      <c r="P21" s="1"/>
      <c r="Q21" s="24"/>
      <c r="R21" s="24"/>
      <c r="S21" s="24"/>
      <c r="T21" s="24"/>
      <c r="U21" s="24"/>
      <c r="V21" s="24"/>
      <c r="W21" s="24"/>
      <c r="X21" s="24"/>
    </row>
    <row r="22" spans="3:26" ht="14.95" thickBot="1" x14ac:dyDescent="0.3">
      <c r="E22" s="199"/>
      <c r="F22" s="200"/>
      <c r="G22" s="79" t="str">
        <f>F10</f>
        <v>Job setup</v>
      </c>
      <c r="H22" s="201" t="str">
        <f>H10</f>
        <v>Assembly</v>
      </c>
      <c r="I22" s="202"/>
      <c r="J22" s="79" t="str">
        <f>J10</f>
        <v>Inspecting &amp; Finishing</v>
      </c>
      <c r="K22" s="80"/>
      <c r="L22" s="203" t="str">
        <f>L10</f>
        <v>Packaging</v>
      </c>
      <c r="M22" s="202"/>
      <c r="O22" s="78" t="s">
        <v>78</v>
      </c>
      <c r="P22" s="78" t="s">
        <v>79</v>
      </c>
      <c r="Q22" s="24"/>
      <c r="R22" s="24"/>
      <c r="S22" s="24"/>
      <c r="T22" s="24"/>
      <c r="U22" s="24"/>
      <c r="V22" s="24"/>
      <c r="W22" s="24"/>
      <c r="X22" s="24"/>
    </row>
    <row r="23" spans="3:26" ht="14.95" thickBot="1" x14ac:dyDescent="0.3">
      <c r="D23" s="40" t="str">
        <f>C3</f>
        <v>Safe-V Product</v>
      </c>
      <c r="E23" s="186"/>
      <c r="F23" s="187"/>
      <c r="G23" s="81"/>
      <c r="H23" s="188"/>
      <c r="I23" s="189"/>
      <c r="J23" s="188"/>
      <c r="K23" s="189"/>
      <c r="L23" s="188"/>
      <c r="M23" s="189"/>
      <c r="O23" s="82"/>
      <c r="P23" s="83"/>
    </row>
    <row r="24" spans="3:26" ht="14.95" thickBot="1" x14ac:dyDescent="0.3">
      <c r="D24" s="84" t="str">
        <f>D3</f>
        <v>Safe-T Product</v>
      </c>
      <c r="E24" s="204"/>
      <c r="F24" s="205"/>
      <c r="G24" s="85"/>
      <c r="H24" s="206"/>
      <c r="I24" s="207"/>
      <c r="J24" s="206"/>
      <c r="K24" s="207"/>
      <c r="L24" s="206"/>
      <c r="M24" s="207"/>
      <c r="O24" s="82"/>
      <c r="P24" s="83"/>
    </row>
    <row r="25" spans="3:26" x14ac:dyDescent="0.25">
      <c r="G25" s="86"/>
      <c r="H25" s="208"/>
      <c r="I25" s="208"/>
      <c r="J25" s="208"/>
      <c r="K25" s="208"/>
      <c r="L25" s="208"/>
      <c r="M25" s="208"/>
    </row>
    <row r="26" spans="3:26" x14ac:dyDescent="0.25">
      <c r="M26" t="s">
        <v>80</v>
      </c>
    </row>
    <row r="27" spans="3:26" x14ac:dyDescent="0.25">
      <c r="M27" s="68">
        <f>SUM(G23:M24)</f>
        <v>0</v>
      </c>
    </row>
  </sheetData>
  <mergeCells count="43">
    <mergeCell ref="E24:F24"/>
    <mergeCell ref="H24:I24"/>
    <mergeCell ref="J24:K24"/>
    <mergeCell ref="L24:M24"/>
    <mergeCell ref="H25:I25"/>
    <mergeCell ref="J25:K25"/>
    <mergeCell ref="L25:M25"/>
    <mergeCell ref="E23:F23"/>
    <mergeCell ref="H23:I23"/>
    <mergeCell ref="J23:K23"/>
    <mergeCell ref="L23:M23"/>
    <mergeCell ref="E18:F18"/>
    <mergeCell ref="H18:I18"/>
    <mergeCell ref="J18:K18"/>
    <mergeCell ref="L18:M18"/>
    <mergeCell ref="H19:I19"/>
    <mergeCell ref="J19:K19"/>
    <mergeCell ref="L19:M19"/>
    <mergeCell ref="E21:F21"/>
    <mergeCell ref="G21:M21"/>
    <mergeCell ref="E22:F22"/>
    <mergeCell ref="H22:I22"/>
    <mergeCell ref="L22:M22"/>
    <mergeCell ref="J16:K16"/>
    <mergeCell ref="L16:M16"/>
    <mergeCell ref="C17:F17"/>
    <mergeCell ref="H17:I17"/>
    <mergeCell ref="J17:K17"/>
    <mergeCell ref="L17:M17"/>
    <mergeCell ref="H16:I16"/>
    <mergeCell ref="D11:E11"/>
    <mergeCell ref="D12:E12"/>
    <mergeCell ref="D13:E13"/>
    <mergeCell ref="D14:E14"/>
    <mergeCell ref="E16:F16"/>
    <mergeCell ref="F9:G9"/>
    <mergeCell ref="H9:I9"/>
    <mergeCell ref="J9:K9"/>
    <mergeCell ref="L9:M9"/>
    <mergeCell ref="F10:G10"/>
    <mergeCell ref="H10:I10"/>
    <mergeCell ref="J10:K10"/>
    <mergeCell ref="L10:M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activeCell="F40" sqref="F40"/>
    </sheetView>
  </sheetViews>
  <sheetFormatPr defaultRowHeight="14.3" x14ac:dyDescent="0.25"/>
  <cols>
    <col min="1" max="1" width="40.125" customWidth="1"/>
    <col min="2" max="2" width="12.5" bestFit="1" customWidth="1"/>
    <col min="3" max="3" width="11.875" customWidth="1"/>
    <col min="4" max="4" width="13.125" bestFit="1" customWidth="1"/>
    <col min="5" max="5" width="9.5" bestFit="1" customWidth="1"/>
    <col min="6" max="6" width="9.5" customWidth="1"/>
    <col min="7" max="7" width="20.625" bestFit="1" customWidth="1"/>
    <col min="8" max="8" width="12.5" bestFit="1" customWidth="1"/>
    <col min="9" max="9" width="6.875" bestFit="1" customWidth="1"/>
    <col min="10" max="10" width="13.125" bestFit="1" customWidth="1"/>
    <col min="11" max="11" width="9.5" bestFit="1" customWidth="1"/>
  </cols>
  <sheetData>
    <row r="1" spans="1:6" x14ac:dyDescent="0.25">
      <c r="A1" s="1" t="s">
        <v>81</v>
      </c>
    </row>
    <row r="3" spans="1:6" ht="14.95" thickBot="1" x14ac:dyDescent="0.3">
      <c r="A3" s="1" t="s">
        <v>0</v>
      </c>
    </row>
    <row r="4" spans="1:6" x14ac:dyDescent="0.25">
      <c r="A4" s="2"/>
      <c r="B4" s="3" t="s">
        <v>1</v>
      </c>
      <c r="C4" s="3" t="s">
        <v>2</v>
      </c>
      <c r="D4" s="4" t="s">
        <v>3</v>
      </c>
    </row>
    <row r="5" spans="1:6" x14ac:dyDescent="0.25">
      <c r="A5" s="5" t="s">
        <v>4</v>
      </c>
      <c r="B5" s="6">
        <v>295000</v>
      </c>
      <c r="C5" s="6">
        <v>214900</v>
      </c>
      <c r="D5" s="7">
        <v>167900</v>
      </c>
      <c r="E5" s="8"/>
      <c r="F5" s="8"/>
    </row>
    <row r="6" spans="1:6" x14ac:dyDescent="0.25">
      <c r="A6" s="5" t="s">
        <v>5</v>
      </c>
      <c r="B6" s="9">
        <v>165000</v>
      </c>
      <c r="C6" s="9">
        <v>150000</v>
      </c>
      <c r="D6" s="10">
        <v>135250</v>
      </c>
      <c r="E6" s="8"/>
      <c r="F6" s="8"/>
    </row>
    <row r="7" spans="1:6" x14ac:dyDescent="0.25">
      <c r="A7" s="5"/>
      <c r="B7" s="11"/>
      <c r="C7" s="11"/>
      <c r="D7" s="12"/>
    </row>
    <row r="8" spans="1:6" x14ac:dyDescent="0.25">
      <c r="A8" s="5" t="s">
        <v>6</v>
      </c>
      <c r="B8" s="13">
        <v>0.24</v>
      </c>
      <c r="C8" s="11" t="s">
        <v>7</v>
      </c>
      <c r="D8" s="12"/>
    </row>
    <row r="9" spans="1:6" x14ac:dyDescent="0.25">
      <c r="A9" s="5"/>
      <c r="B9" s="11"/>
      <c r="C9" s="11"/>
      <c r="D9" s="12"/>
    </row>
    <row r="10" spans="1:6" x14ac:dyDescent="0.25">
      <c r="A10" s="14" t="s">
        <v>8</v>
      </c>
      <c r="B10" s="15" t="s">
        <v>1</v>
      </c>
      <c r="C10" s="15" t="s">
        <v>2</v>
      </c>
      <c r="D10" s="16" t="s">
        <v>3</v>
      </c>
      <c r="E10" s="1"/>
      <c r="F10" s="1"/>
    </row>
    <row r="11" spans="1:6" x14ac:dyDescent="0.25">
      <c r="A11" s="5" t="s">
        <v>9</v>
      </c>
      <c r="B11" s="11">
        <v>425</v>
      </c>
      <c r="C11" s="11">
        <v>150</v>
      </c>
      <c r="D11" s="12">
        <v>100</v>
      </c>
    </row>
    <row r="12" spans="1:6" x14ac:dyDescent="0.25">
      <c r="A12" s="5" t="s">
        <v>10</v>
      </c>
      <c r="B12" s="11">
        <v>50</v>
      </c>
      <c r="C12" s="11">
        <v>120</v>
      </c>
      <c r="D12" s="12">
        <v>60</v>
      </c>
    </row>
    <row r="13" spans="1:6" x14ac:dyDescent="0.25">
      <c r="A13" s="5" t="s">
        <v>11</v>
      </c>
      <c r="B13" s="11">
        <v>0.5</v>
      </c>
      <c r="C13" s="11">
        <v>8</v>
      </c>
      <c r="D13" s="12">
        <v>0.75</v>
      </c>
    </row>
    <row r="14" spans="1:6" x14ac:dyDescent="0.25">
      <c r="A14" s="5"/>
      <c r="B14" s="11"/>
      <c r="C14" s="11"/>
      <c r="D14" s="12"/>
    </row>
    <row r="15" spans="1:6" x14ac:dyDescent="0.25">
      <c r="A15" s="5" t="s">
        <v>12</v>
      </c>
      <c r="B15" s="11"/>
      <c r="C15" s="11"/>
      <c r="D15" s="12"/>
    </row>
    <row r="16" spans="1:6" x14ac:dyDescent="0.25">
      <c r="A16" s="5" t="s">
        <v>13</v>
      </c>
      <c r="B16" s="17">
        <v>140</v>
      </c>
      <c r="C16" s="209" t="s">
        <v>14</v>
      </c>
      <c r="D16" s="210"/>
    </row>
    <row r="17" spans="1:11" x14ac:dyDescent="0.25">
      <c r="A17" s="5" t="s">
        <v>15</v>
      </c>
      <c r="B17" s="17">
        <v>180</v>
      </c>
      <c r="C17" s="11" t="s">
        <v>16</v>
      </c>
      <c r="D17" s="12"/>
    </row>
    <row r="18" spans="1:11" ht="14.95" thickBot="1" x14ac:dyDescent="0.3">
      <c r="A18" s="18" t="s">
        <v>17</v>
      </c>
      <c r="B18" s="19">
        <v>18</v>
      </c>
      <c r="C18" s="20" t="s">
        <v>18</v>
      </c>
      <c r="D18" s="21"/>
    </row>
    <row r="20" spans="1:11" x14ac:dyDescent="0.25">
      <c r="A20" s="1" t="s">
        <v>19</v>
      </c>
    </row>
    <row r="21" spans="1:11" ht="14.95" thickBot="1" x14ac:dyDescent="0.3">
      <c r="A21" s="1" t="s">
        <v>20</v>
      </c>
      <c r="G21" s="1" t="s">
        <v>21</v>
      </c>
    </row>
    <row r="22" spans="1:11" x14ac:dyDescent="0.25">
      <c r="A22" s="2"/>
      <c r="B22" s="22" t="s">
        <v>1</v>
      </c>
      <c r="C22" s="22" t="s">
        <v>2</v>
      </c>
      <c r="D22" s="23" t="s">
        <v>3</v>
      </c>
      <c r="E22" s="15"/>
      <c r="F22" s="15"/>
      <c r="G22" s="2"/>
      <c r="H22" s="22" t="s">
        <v>1</v>
      </c>
      <c r="I22" s="22" t="s">
        <v>2</v>
      </c>
      <c r="J22" s="23" t="s">
        <v>3</v>
      </c>
    </row>
    <row r="23" spans="1:11" x14ac:dyDescent="0.25">
      <c r="A23" s="5" t="s">
        <v>4</v>
      </c>
      <c r="B23" s="6">
        <f t="shared" ref="B23:D24" si="0">B5</f>
        <v>295000</v>
      </c>
      <c r="C23" s="6">
        <f t="shared" si="0"/>
        <v>214900</v>
      </c>
      <c r="D23" s="7">
        <f t="shared" si="0"/>
        <v>167900</v>
      </c>
      <c r="E23" s="24"/>
      <c r="F23" s="24"/>
      <c r="G23" s="5" t="s">
        <v>4</v>
      </c>
      <c r="H23" s="25">
        <f t="shared" ref="H23:J24" si="1">B5</f>
        <v>295000</v>
      </c>
      <c r="I23" s="26">
        <f t="shared" si="1"/>
        <v>214900</v>
      </c>
      <c r="J23" s="27">
        <f t="shared" si="1"/>
        <v>167900</v>
      </c>
    </row>
    <row r="24" spans="1:11" x14ac:dyDescent="0.25">
      <c r="A24" s="5" t="s">
        <v>5</v>
      </c>
      <c r="B24" s="9">
        <f t="shared" si="0"/>
        <v>165000</v>
      </c>
      <c r="C24" s="9">
        <f t="shared" si="0"/>
        <v>150000</v>
      </c>
      <c r="D24" s="10">
        <f t="shared" si="0"/>
        <v>135250</v>
      </c>
      <c r="E24" s="24"/>
      <c r="F24" s="24"/>
      <c r="G24" s="5" t="s">
        <v>5</v>
      </c>
      <c r="H24" s="9">
        <f t="shared" si="1"/>
        <v>165000</v>
      </c>
      <c r="I24" s="9">
        <f t="shared" si="1"/>
        <v>150000</v>
      </c>
      <c r="J24" s="10">
        <f t="shared" si="1"/>
        <v>135250</v>
      </c>
    </row>
    <row r="25" spans="1:11" ht="14.95" thickBot="1" x14ac:dyDescent="0.3">
      <c r="A25" s="14" t="s">
        <v>22</v>
      </c>
      <c r="B25" s="28">
        <f>B23-B24</f>
        <v>130000</v>
      </c>
      <c r="C25" s="28">
        <f t="shared" ref="C25" si="2">C23-C24</f>
        <v>64900</v>
      </c>
      <c r="D25" s="29">
        <f>D23-D24</f>
        <v>32650</v>
      </c>
      <c r="E25" s="15"/>
      <c r="F25" s="15"/>
      <c r="G25" s="14" t="s">
        <v>22</v>
      </c>
      <c r="H25" s="30">
        <f>H23-H24</f>
        <v>130000</v>
      </c>
      <c r="I25" s="30">
        <f t="shared" ref="I25" si="3">I23-I24</f>
        <v>64900</v>
      </c>
      <c r="J25" s="31">
        <f>J23-J24</f>
        <v>32650</v>
      </c>
    </row>
    <row r="26" spans="1:11" x14ac:dyDescent="0.25">
      <c r="A26" s="5" t="s">
        <v>23</v>
      </c>
      <c r="B26" s="11">
        <f>B23*B8</f>
        <v>70800</v>
      </c>
      <c r="C26" s="11">
        <f>C23*B8</f>
        <v>51576</v>
      </c>
      <c r="D26" s="12">
        <f>D23*B8</f>
        <v>40296</v>
      </c>
      <c r="E26" s="32">
        <f>SUM(B26:D26)</f>
        <v>162672</v>
      </c>
      <c r="F26" s="87"/>
      <c r="G26" s="5"/>
      <c r="H26" s="11"/>
      <c r="I26" s="11"/>
      <c r="J26" s="12"/>
    </row>
    <row r="27" spans="1:11" ht="14.95" thickBot="1" x14ac:dyDescent="0.3">
      <c r="A27" s="5" t="s">
        <v>24</v>
      </c>
      <c r="B27" s="33">
        <f>B25-B26</f>
        <v>59200</v>
      </c>
      <c r="C27" s="33">
        <f>C25-C26</f>
        <v>13324</v>
      </c>
      <c r="D27" s="34">
        <f>D25-D26</f>
        <v>-7646</v>
      </c>
      <c r="E27" s="11"/>
      <c r="F27" s="11"/>
      <c r="G27" s="5" t="s">
        <v>23</v>
      </c>
      <c r="H27" s="11"/>
      <c r="I27" s="11"/>
      <c r="J27" s="12"/>
    </row>
    <row r="28" spans="1:11" ht="15.65" thickTop="1" thickBot="1" x14ac:dyDescent="0.3">
      <c r="A28" s="18" t="s">
        <v>25</v>
      </c>
      <c r="B28" s="35">
        <f>B27/B23</f>
        <v>0.20067796610169492</v>
      </c>
      <c r="C28" s="35">
        <f>C27/C23</f>
        <v>6.200093066542578E-2</v>
      </c>
      <c r="D28" s="36">
        <f>D27/D23</f>
        <v>-4.5539011316259675E-2</v>
      </c>
      <c r="E28" s="37"/>
      <c r="F28" s="37"/>
      <c r="G28" s="5" t="s">
        <v>26</v>
      </c>
      <c r="H28" s="38"/>
      <c r="I28" s="38"/>
      <c r="J28" s="39"/>
    </row>
    <row r="29" spans="1:11" x14ac:dyDescent="0.25">
      <c r="G29" s="5" t="s">
        <v>27</v>
      </c>
      <c r="H29" s="38"/>
      <c r="I29" s="38"/>
      <c r="J29" s="39"/>
    </row>
    <row r="30" spans="1:11" ht="14.95" thickBot="1" x14ac:dyDescent="0.3">
      <c r="G30" s="5" t="s">
        <v>28</v>
      </c>
      <c r="H30" s="38"/>
      <c r="I30" s="38"/>
      <c r="J30" s="39"/>
    </row>
    <row r="31" spans="1:11" ht="14.95" thickBot="1" x14ac:dyDescent="0.3">
      <c r="A31" s="40" t="s">
        <v>29</v>
      </c>
      <c r="B31" s="4"/>
      <c r="G31" s="5" t="s">
        <v>30</v>
      </c>
      <c r="H31" s="41">
        <f>SUM(H28:H30)</f>
        <v>0</v>
      </c>
      <c r="I31" s="41">
        <f t="shared" ref="I31:J31" si="4">SUM(I28:I30)</f>
        <v>0</v>
      </c>
      <c r="J31" s="42">
        <f t="shared" si="4"/>
        <v>0</v>
      </c>
      <c r="K31" s="43">
        <f>SUM(H31:J31)</f>
        <v>0</v>
      </c>
    </row>
    <row r="32" spans="1:11" ht="14.95" thickTop="1" x14ac:dyDescent="0.25">
      <c r="A32" s="5" t="s">
        <v>31</v>
      </c>
      <c r="B32" s="12"/>
      <c r="G32" s="5" t="s">
        <v>24</v>
      </c>
      <c r="H32" s="38">
        <f>H25-H31</f>
        <v>130000</v>
      </c>
      <c r="I32" s="38">
        <f t="shared" ref="I32:J32" si="5">I25-I31</f>
        <v>64900</v>
      </c>
      <c r="J32" s="39">
        <f t="shared" si="5"/>
        <v>32650</v>
      </c>
    </row>
    <row r="33" spans="1:10" ht="14.95" thickBot="1" x14ac:dyDescent="0.3">
      <c r="A33" s="18" t="s">
        <v>32</v>
      </c>
      <c r="B33" s="21"/>
      <c r="G33" s="18" t="s">
        <v>25</v>
      </c>
      <c r="H33" s="35">
        <f>H32/H23</f>
        <v>0.44067796610169491</v>
      </c>
      <c r="I33" s="35">
        <f>I32/I23</f>
        <v>0.30200093066542577</v>
      </c>
      <c r="J33" s="36">
        <f t="shared" ref="J33" si="6">J32/J23</f>
        <v>0.19446098868374032</v>
      </c>
    </row>
  </sheetData>
  <mergeCells count="1">
    <mergeCell ref="C16:D16"/>
  </mergeCells>
  <pageMargins left="0.7" right="0.7" top="0.75" bottom="0.75" header="0.3" footer="0.3"/>
  <extLst>
    <ext xmlns:x14="http://schemas.microsoft.com/office/spreadsheetml/2009/9/main" uri="{05C60535-1F16-4fd2-B633-F4F36F0B64E0}">
      <x14:sparklineGroups xmlns:xm="http://schemas.microsoft.com/office/excel/2006/main">
        <x14:sparklineGroup type="column" displayEmptyCellsAs="gap" negative="1">
          <x14:colorSeries rgb="FF376092"/>
          <x14:colorNegative rgb="FFD00000"/>
          <x14:colorAxis rgb="FF000000"/>
          <x14:colorMarkers rgb="FFD00000"/>
          <x14:colorFirst rgb="FFD00000"/>
          <x14:colorLast rgb="FFD00000"/>
          <x14:colorHigh rgb="FFD00000"/>
          <x14:colorLow rgb="FFD00000"/>
          <x14:sparklines>
            <x14:sparkline>
              <xm:f>'Studemeir ABC (2)'!B28:D28</xm:f>
              <xm:sqref>B32</xm:sqref>
            </x14:sparkline>
          </x14:sparklines>
        </x14:sparklineGroup>
        <x14:sparklineGroup type="column" displayEmptyCellsAs="gap" negative="1">
          <x14:colorSeries rgb="FF376092"/>
          <x14:colorNegative rgb="FFFF0000"/>
          <x14:colorAxis rgb="FF000000"/>
          <x14:colorMarkers rgb="FFD00000"/>
          <x14:colorFirst rgb="FFD00000"/>
          <x14:colorLast rgb="FFD00000"/>
          <x14:colorHigh rgb="FFD00000"/>
          <x14:colorLow rgb="FFD00000"/>
          <x14:sparklines>
            <x14:sparkline>
              <xm:f>'Studemeir ABC (2)'!H33:J33</xm:f>
              <xm:sqref>B33</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7"/>
  <sheetViews>
    <sheetView tabSelected="1" workbookViewId="0">
      <selection activeCell="H42" sqref="H42"/>
    </sheetView>
  </sheetViews>
  <sheetFormatPr defaultRowHeight="14.3" x14ac:dyDescent="0.25"/>
  <cols>
    <col min="1" max="1" width="3.125" style="88" bestFit="1" customWidth="1"/>
    <col min="2" max="2" width="27.125" style="88" customWidth="1"/>
    <col min="3" max="3" width="12.5" style="88" customWidth="1"/>
    <col min="4" max="4" width="19.375" style="88" customWidth="1"/>
    <col min="5" max="5" width="12.75" style="88" customWidth="1"/>
    <col min="6" max="6" width="10.625" style="88" customWidth="1"/>
    <col min="7" max="7" width="11.75" style="88" bestFit="1" customWidth="1"/>
    <col min="8" max="8" width="10.75" style="88" bestFit="1" customWidth="1"/>
    <col min="9" max="9" width="12" style="88" bestFit="1" customWidth="1"/>
    <col min="10" max="10" width="25.5" style="88" bestFit="1" customWidth="1"/>
    <col min="11" max="11" width="19.75" style="88" bestFit="1" customWidth="1"/>
    <col min="12" max="12" width="34.625" style="88" bestFit="1" customWidth="1"/>
    <col min="13" max="13" width="7.875" style="88" bestFit="1" customWidth="1"/>
    <col min="14" max="15" width="7" style="88" bestFit="1" customWidth="1"/>
    <col min="16" max="16" width="7.875" style="88" bestFit="1" customWidth="1"/>
    <col min="17" max="18" width="9" style="88"/>
    <col min="19" max="19" width="15.25" style="88" customWidth="1"/>
    <col min="20" max="16384" width="9" style="88"/>
  </cols>
  <sheetData>
    <row r="2" spans="1:16" ht="14.95" thickBot="1" x14ac:dyDescent="0.3"/>
    <row r="3" spans="1:16" ht="14.95" thickBot="1" x14ac:dyDescent="0.3">
      <c r="B3" s="211" t="s">
        <v>175</v>
      </c>
      <c r="C3" s="212"/>
      <c r="D3" s="212"/>
      <c r="E3" s="212"/>
      <c r="F3" s="212"/>
      <c r="G3" s="212"/>
      <c r="H3" s="213"/>
      <c r="J3" s="211" t="s">
        <v>176</v>
      </c>
      <c r="K3" s="212"/>
      <c r="L3" s="212"/>
      <c r="M3" s="212"/>
      <c r="N3" s="212"/>
      <c r="O3" s="212"/>
      <c r="P3" s="213"/>
    </row>
    <row r="4" spans="1:16" x14ac:dyDescent="0.25">
      <c r="C4" s="112"/>
      <c r="D4" s="112"/>
      <c r="E4" s="112" t="s">
        <v>177</v>
      </c>
      <c r="F4" s="90" t="s">
        <v>63</v>
      </c>
      <c r="G4" s="90" t="s">
        <v>178</v>
      </c>
      <c r="H4" s="112"/>
    </row>
    <row r="5" spans="1:16" x14ac:dyDescent="0.25">
      <c r="C5" s="90" t="s">
        <v>179</v>
      </c>
      <c r="D5" s="90" t="s">
        <v>180</v>
      </c>
      <c r="E5" s="90" t="s">
        <v>181</v>
      </c>
      <c r="F5" s="90" t="s">
        <v>182</v>
      </c>
      <c r="G5" s="90" t="s">
        <v>183</v>
      </c>
      <c r="H5" s="90" t="s">
        <v>36</v>
      </c>
    </row>
    <row r="6" spans="1:16" x14ac:dyDescent="0.25">
      <c r="B6" s="91" t="s">
        <v>87</v>
      </c>
      <c r="C6" s="91" t="s">
        <v>184</v>
      </c>
      <c r="D6" s="91" t="s">
        <v>185</v>
      </c>
      <c r="E6" s="91" t="s">
        <v>186</v>
      </c>
      <c r="F6" s="91" t="s">
        <v>187</v>
      </c>
      <c r="G6" s="91" t="s">
        <v>188</v>
      </c>
      <c r="H6" s="91" t="s">
        <v>189</v>
      </c>
      <c r="J6" s="102" t="s">
        <v>87</v>
      </c>
      <c r="K6" s="102" t="s">
        <v>88</v>
      </c>
      <c r="L6" s="102" t="s">
        <v>89</v>
      </c>
      <c r="M6" s="102" t="s">
        <v>90</v>
      </c>
      <c r="N6" s="102" t="s">
        <v>91</v>
      </c>
      <c r="O6" s="102" t="s">
        <v>92</v>
      </c>
      <c r="P6" s="102" t="s">
        <v>36</v>
      </c>
    </row>
    <row r="7" spans="1:16" x14ac:dyDescent="0.25">
      <c r="B7" s="88" t="s">
        <v>94</v>
      </c>
      <c r="C7" s="95">
        <v>8</v>
      </c>
      <c r="D7" s="95">
        <v>449600</v>
      </c>
      <c r="E7" s="95">
        <v>67440</v>
      </c>
      <c r="F7" s="95">
        <v>40000</v>
      </c>
      <c r="G7" s="93">
        <v>83360</v>
      </c>
      <c r="H7" s="117">
        <f>SUM(D7:G7)</f>
        <v>640400</v>
      </c>
      <c r="J7" s="123" t="s">
        <v>94</v>
      </c>
      <c r="K7" s="123" t="s">
        <v>95</v>
      </c>
      <c r="L7" s="123" t="s">
        <v>96</v>
      </c>
      <c r="M7" s="124">
        <v>50</v>
      </c>
      <c r="N7" s="124">
        <v>50</v>
      </c>
      <c r="O7" s="124">
        <v>50</v>
      </c>
      <c r="P7" s="124">
        <v>150</v>
      </c>
    </row>
    <row r="8" spans="1:16" x14ac:dyDescent="0.25">
      <c r="B8" s="88" t="s">
        <v>97</v>
      </c>
      <c r="C8" s="95">
        <v>4</v>
      </c>
      <c r="D8" s="95">
        <v>360000</v>
      </c>
      <c r="E8" s="95">
        <v>54000</v>
      </c>
      <c r="F8" s="95">
        <v>30000</v>
      </c>
      <c r="G8" s="93">
        <v>173200</v>
      </c>
      <c r="H8" s="117">
        <f t="shared" ref="H8:H11" si="0">SUM(D8:G8)</f>
        <v>617200</v>
      </c>
      <c r="J8" s="123" t="s">
        <v>97</v>
      </c>
      <c r="K8" s="123" t="s">
        <v>98</v>
      </c>
      <c r="L8" s="123" t="s">
        <v>99</v>
      </c>
      <c r="M8" s="124">
        <v>5520</v>
      </c>
      <c r="N8" s="124">
        <v>1920</v>
      </c>
      <c r="O8" s="124">
        <v>1920</v>
      </c>
      <c r="P8" s="124">
        <v>9360</v>
      </c>
    </row>
    <row r="9" spans="1:16" x14ac:dyDescent="0.25">
      <c r="B9" s="88" t="s">
        <v>100</v>
      </c>
      <c r="C9" s="95">
        <v>3</v>
      </c>
      <c r="D9" s="95">
        <v>270000</v>
      </c>
      <c r="E9" s="95">
        <v>40500</v>
      </c>
      <c r="F9" s="95">
        <v>25000</v>
      </c>
      <c r="G9" s="93">
        <v>16500</v>
      </c>
      <c r="H9" s="117">
        <f t="shared" si="0"/>
        <v>352000</v>
      </c>
      <c r="J9" s="123" t="s">
        <v>100</v>
      </c>
      <c r="K9" s="123" t="s">
        <v>190</v>
      </c>
      <c r="L9" s="123" t="s">
        <v>102</v>
      </c>
      <c r="M9" s="124">
        <v>276</v>
      </c>
      <c r="N9" s="124">
        <v>96</v>
      </c>
      <c r="O9" s="124">
        <v>96</v>
      </c>
      <c r="P9" s="124">
        <v>468</v>
      </c>
    </row>
    <row r="10" spans="1:16" x14ac:dyDescent="0.25">
      <c r="B10" s="88" t="s">
        <v>103</v>
      </c>
      <c r="C10" s="95">
        <v>3</v>
      </c>
      <c r="D10" s="95">
        <v>210000</v>
      </c>
      <c r="E10" s="95">
        <v>31500</v>
      </c>
      <c r="F10" s="95">
        <v>10000</v>
      </c>
      <c r="G10" s="93">
        <v>9500</v>
      </c>
      <c r="H10" s="117">
        <f t="shared" si="0"/>
        <v>261000</v>
      </c>
      <c r="J10" s="123" t="s">
        <v>103</v>
      </c>
      <c r="K10" s="123" t="s">
        <v>104</v>
      </c>
      <c r="L10" s="123" t="s">
        <v>105</v>
      </c>
      <c r="M10" s="124">
        <v>276000</v>
      </c>
      <c r="N10" s="124">
        <v>96000</v>
      </c>
      <c r="O10" s="124">
        <v>96000</v>
      </c>
      <c r="P10" s="124">
        <v>468000</v>
      </c>
    </row>
    <row r="11" spans="1:16" x14ac:dyDescent="0.25">
      <c r="B11" s="88" t="s">
        <v>106</v>
      </c>
      <c r="C11" s="95">
        <v>2</v>
      </c>
      <c r="D11" s="95">
        <v>300000</v>
      </c>
      <c r="E11" s="95">
        <v>45000</v>
      </c>
      <c r="F11" s="95">
        <v>1600</v>
      </c>
      <c r="G11" s="93">
        <v>18400</v>
      </c>
      <c r="H11" s="117">
        <f t="shared" si="0"/>
        <v>365000</v>
      </c>
      <c r="J11" s="123" t="s">
        <v>106</v>
      </c>
      <c r="K11" s="123" t="s">
        <v>191</v>
      </c>
      <c r="L11" s="123" t="s">
        <v>191</v>
      </c>
      <c r="M11" s="124">
        <v>27600</v>
      </c>
      <c r="N11" s="124">
        <v>8000</v>
      </c>
      <c r="O11" s="124">
        <v>13440</v>
      </c>
      <c r="P11" s="124">
        <v>49040</v>
      </c>
    </row>
    <row r="12" spans="1:16" x14ac:dyDescent="0.25">
      <c r="B12" s="88" t="s">
        <v>192</v>
      </c>
      <c r="C12" s="125">
        <f>SUM(C7:C11)</f>
        <v>20</v>
      </c>
      <c r="D12" s="125">
        <f>SUM(D7:D11)</f>
        <v>1589600</v>
      </c>
      <c r="E12" s="125">
        <f t="shared" ref="E12:H12" si="1">SUM(E7:E11)</f>
        <v>238440</v>
      </c>
      <c r="F12" s="125">
        <f t="shared" si="1"/>
        <v>106600</v>
      </c>
      <c r="G12" s="125">
        <f t="shared" si="1"/>
        <v>300960</v>
      </c>
      <c r="H12" s="125">
        <f t="shared" si="1"/>
        <v>2235600</v>
      </c>
      <c r="J12" s="98"/>
    </row>
    <row r="13" spans="1:16" x14ac:dyDescent="0.25">
      <c r="H13" s="117"/>
    </row>
    <row r="14" spans="1:16" x14ac:dyDescent="0.25">
      <c r="H14" s="117"/>
    </row>
    <row r="15" spans="1:16" x14ac:dyDescent="0.25">
      <c r="B15" s="102" t="s">
        <v>110</v>
      </c>
      <c r="H15" s="117"/>
    </row>
    <row r="16" spans="1:16" x14ac:dyDescent="0.25">
      <c r="A16" s="97" t="s">
        <v>193</v>
      </c>
      <c r="B16" s="88" t="s">
        <v>194</v>
      </c>
      <c r="H16" s="117"/>
    </row>
    <row r="17" spans="1:9" x14ac:dyDescent="0.25">
      <c r="A17" s="98"/>
      <c r="B17" s="88" t="s">
        <v>195</v>
      </c>
      <c r="H17" s="117"/>
    </row>
    <row r="18" spans="1:9" x14ac:dyDescent="0.25">
      <c r="A18" s="97" t="s">
        <v>196</v>
      </c>
      <c r="B18" s="88" t="s">
        <v>197</v>
      </c>
      <c r="H18" s="117"/>
    </row>
    <row r="19" spans="1:9" x14ac:dyDescent="0.25">
      <c r="A19" s="97" t="s">
        <v>198</v>
      </c>
      <c r="B19" s="88" t="s">
        <v>199</v>
      </c>
      <c r="H19" s="117"/>
    </row>
    <row r="20" spans="1:9" x14ac:dyDescent="0.25">
      <c r="A20" s="97" t="s">
        <v>200</v>
      </c>
      <c r="B20" s="88" t="s">
        <v>201</v>
      </c>
      <c r="H20" s="117"/>
    </row>
    <row r="21" spans="1:9" x14ac:dyDescent="0.25">
      <c r="A21" s="98"/>
      <c r="B21" s="88" t="s">
        <v>202</v>
      </c>
      <c r="H21" s="117"/>
    </row>
    <row r="22" spans="1:9" x14ac:dyDescent="0.25">
      <c r="A22" s="98"/>
      <c r="B22" s="88" t="s">
        <v>203</v>
      </c>
      <c r="H22" s="117"/>
    </row>
    <row r="23" spans="1:9" x14ac:dyDescent="0.25">
      <c r="A23" s="98"/>
      <c r="B23" s="88" t="s">
        <v>204</v>
      </c>
      <c r="H23" s="117"/>
    </row>
    <row r="24" spans="1:9" x14ac:dyDescent="0.25">
      <c r="A24" s="98"/>
      <c r="H24" s="117"/>
    </row>
    <row r="25" spans="1:9" x14ac:dyDescent="0.25">
      <c r="A25" s="98"/>
      <c r="C25" s="90"/>
      <c r="E25" s="100"/>
      <c r="F25" s="100"/>
      <c r="G25" s="100"/>
      <c r="H25" s="100"/>
      <c r="I25" s="100"/>
    </row>
    <row r="26" spans="1:9" x14ac:dyDescent="0.25">
      <c r="B26" s="91" t="str">
        <f t="shared" ref="B26:B32" si="2">B6</f>
        <v>Mfg Ovh Department</v>
      </c>
      <c r="C26" s="91" t="s">
        <v>86</v>
      </c>
      <c r="D26" s="91" t="s">
        <v>88</v>
      </c>
      <c r="E26" s="91" t="s">
        <v>123</v>
      </c>
      <c r="F26" s="91" t="s">
        <v>124</v>
      </c>
      <c r="G26" s="91" t="s">
        <v>125</v>
      </c>
      <c r="H26" s="91" t="s">
        <v>126</v>
      </c>
      <c r="I26" s="91" t="s">
        <v>127</v>
      </c>
    </row>
    <row r="27" spans="1:9" x14ac:dyDescent="0.25">
      <c r="B27" s="88" t="str">
        <f t="shared" si="2"/>
        <v>Machine Maint &amp; Repair</v>
      </c>
      <c r="C27" s="117">
        <f>H7</f>
        <v>640400</v>
      </c>
      <c r="D27" s="123" t="str">
        <f>K7</f>
        <v># of Equip Cleanings</v>
      </c>
      <c r="E27" s="126">
        <f>P7</f>
        <v>150</v>
      </c>
      <c r="F27" s="105"/>
      <c r="G27" s="105"/>
      <c r="H27" s="105"/>
      <c r="I27" s="105"/>
    </row>
    <row r="28" spans="1:9" x14ac:dyDescent="0.25">
      <c r="B28" s="88" t="str">
        <f t="shared" si="2"/>
        <v>Quality / Inspection</v>
      </c>
      <c r="C28" s="117">
        <f t="shared" ref="C28:C32" si="3">H8</f>
        <v>617200</v>
      </c>
      <c r="D28" s="123" t="str">
        <f>K8</f>
        <v># Inspections</v>
      </c>
      <c r="E28" s="126">
        <f t="shared" ref="E28:E31" si="4">P8</f>
        <v>9360</v>
      </c>
      <c r="F28" s="105"/>
      <c r="G28" s="105"/>
      <c r="H28" s="105"/>
      <c r="I28" s="105"/>
    </row>
    <row r="29" spans="1:9" x14ac:dyDescent="0.25">
      <c r="B29" s="88" t="str">
        <f t="shared" si="2"/>
        <v>Sourcing / Purchasing</v>
      </c>
      <c r="C29" s="117">
        <f t="shared" si="3"/>
        <v>352000</v>
      </c>
      <c r="D29" s="123" t="str">
        <f>K9</f>
        <v># Purch Orders</v>
      </c>
      <c r="E29" s="126">
        <f t="shared" si="4"/>
        <v>468</v>
      </c>
      <c r="F29" s="105"/>
      <c r="G29" s="105"/>
      <c r="H29" s="105"/>
      <c r="I29" s="105"/>
    </row>
    <row r="30" spans="1:9" x14ac:dyDescent="0.25">
      <c r="B30" s="88" t="str">
        <f t="shared" si="2"/>
        <v>Mat'l Planning &amp; Prod'n Control</v>
      </c>
      <c r="C30" s="117">
        <f t="shared" si="3"/>
        <v>261000</v>
      </c>
      <c r="D30" s="123" t="str">
        <f>K10</f>
        <v># Packs Mfg'd &amp; Shipped</v>
      </c>
      <c r="E30" s="126">
        <f t="shared" si="4"/>
        <v>468000</v>
      </c>
      <c r="F30" s="105"/>
      <c r="G30" s="105"/>
      <c r="H30" s="105"/>
      <c r="I30" s="105"/>
    </row>
    <row r="31" spans="1:9" x14ac:dyDescent="0.25">
      <c r="B31" s="88" t="str">
        <f t="shared" si="2"/>
        <v>Gen'l Mfg Ovh</v>
      </c>
      <c r="C31" s="117">
        <f t="shared" si="3"/>
        <v>365000</v>
      </c>
      <c r="D31" s="123" t="str">
        <f>K11</f>
        <v># DL Hours</v>
      </c>
      <c r="E31" s="126">
        <f t="shared" si="4"/>
        <v>49040</v>
      </c>
      <c r="F31" s="105"/>
      <c r="G31" s="105"/>
      <c r="H31" s="105"/>
      <c r="I31" s="105"/>
    </row>
    <row r="32" spans="1:9" x14ac:dyDescent="0.25">
      <c r="B32" s="88" t="str">
        <f t="shared" si="2"/>
        <v>Total Fixed Mfg Ovh</v>
      </c>
      <c r="C32" s="125">
        <f t="shared" si="3"/>
        <v>2235600</v>
      </c>
      <c r="G32" s="127"/>
      <c r="H32" s="127"/>
      <c r="I32" s="127"/>
    </row>
    <row r="33" spans="6:9" x14ac:dyDescent="0.25">
      <c r="G33" s="112"/>
      <c r="H33" s="112"/>
      <c r="I33" s="112"/>
    </row>
    <row r="34" spans="6:9" x14ac:dyDescent="0.25">
      <c r="F34" s="110" t="s">
        <v>130</v>
      </c>
      <c r="G34" s="108">
        <v>4.5587275693311584</v>
      </c>
      <c r="H34" s="108">
        <v>3.7989396411092984</v>
      </c>
      <c r="I34" s="108">
        <v>6.3822185970636225</v>
      </c>
    </row>
    <row r="35" spans="6:9" x14ac:dyDescent="0.25">
      <c r="G35" s="112"/>
      <c r="H35" s="112"/>
      <c r="I35" s="112"/>
    </row>
    <row r="36" spans="6:9" x14ac:dyDescent="0.25">
      <c r="F36" s="88" t="s">
        <v>205</v>
      </c>
      <c r="G36" s="127">
        <f>G32-G34</f>
        <v>-4.5587275693311584</v>
      </c>
      <c r="H36" s="127">
        <f t="shared" ref="H36:I36" si="5">H32-H34</f>
        <v>-3.7989396411092984</v>
      </c>
      <c r="I36" s="127">
        <f t="shared" si="5"/>
        <v>-6.3822185970636225</v>
      </c>
    </row>
    <row r="37" spans="6:9" x14ac:dyDescent="0.25">
      <c r="G37" s="100"/>
      <c r="H37" s="100"/>
      <c r="I37" s="100"/>
    </row>
  </sheetData>
  <mergeCells count="2">
    <mergeCell ref="B3:H3"/>
    <mergeCell ref="J3:P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zoomScale="90" zoomScaleNormal="90" workbookViewId="0">
      <selection activeCell="D39" sqref="D39"/>
    </sheetView>
  </sheetViews>
  <sheetFormatPr defaultRowHeight="14.3" x14ac:dyDescent="0.25"/>
  <cols>
    <col min="1" max="1" width="3.125" style="88" bestFit="1" customWidth="1"/>
    <col min="2" max="2" width="14.875" style="88" customWidth="1"/>
    <col min="3" max="3" width="3.875" style="88" customWidth="1"/>
    <col min="4" max="4" width="29.75" style="88" customWidth="1"/>
    <col min="5" max="5" width="28.25" style="88" customWidth="1"/>
    <col min="6" max="6" width="45" style="88" customWidth="1"/>
    <col min="7" max="7" width="12.875" style="88" customWidth="1"/>
    <col min="8" max="12" width="12.75" style="88" customWidth="1"/>
    <col min="13" max="16384" width="9" style="88"/>
  </cols>
  <sheetData>
    <row r="1" spans="1:12" x14ac:dyDescent="0.25">
      <c r="B1" s="89" t="s">
        <v>82</v>
      </c>
      <c r="D1" s="214" t="s">
        <v>83</v>
      </c>
      <c r="E1" s="215"/>
      <c r="F1" s="215"/>
      <c r="G1" s="215"/>
      <c r="H1" s="215"/>
      <c r="I1" s="215"/>
      <c r="J1" s="215"/>
      <c r="K1" s="215"/>
      <c r="L1" s="216"/>
    </row>
    <row r="2" spans="1:12" x14ac:dyDescent="0.25">
      <c r="K2" s="90" t="s">
        <v>84</v>
      </c>
    </row>
    <row r="3" spans="1:12" x14ac:dyDescent="0.25">
      <c r="K3" s="90" t="s">
        <v>85</v>
      </c>
    </row>
    <row r="4" spans="1:12" x14ac:dyDescent="0.25">
      <c r="B4" s="91" t="s">
        <v>86</v>
      </c>
      <c r="D4" s="91" t="s">
        <v>87</v>
      </c>
      <c r="E4" s="91" t="s">
        <v>88</v>
      </c>
      <c r="F4" s="91" t="s">
        <v>89</v>
      </c>
      <c r="G4" s="91"/>
      <c r="H4" s="91" t="s">
        <v>90</v>
      </c>
      <c r="I4" s="91" t="s">
        <v>91</v>
      </c>
      <c r="J4" s="91" t="s">
        <v>92</v>
      </c>
      <c r="K4" s="91" t="s">
        <v>93</v>
      </c>
      <c r="L4" s="92" t="s">
        <v>36</v>
      </c>
    </row>
    <row r="5" spans="1:12" x14ac:dyDescent="0.25">
      <c r="B5" s="93">
        <v>640400</v>
      </c>
      <c r="D5" s="88" t="s">
        <v>94</v>
      </c>
      <c r="E5" s="88" t="s">
        <v>95</v>
      </c>
      <c r="F5" s="94" t="s">
        <v>96</v>
      </c>
      <c r="G5" s="94"/>
      <c r="H5" s="95">
        <v>50</v>
      </c>
      <c r="I5" s="95">
        <v>50</v>
      </c>
      <c r="J5" s="95">
        <v>50</v>
      </c>
      <c r="K5" s="95">
        <v>100</v>
      </c>
      <c r="L5" s="95">
        <v>250</v>
      </c>
    </row>
    <row r="6" spans="1:12" x14ac:dyDescent="0.25">
      <c r="B6" s="93">
        <v>617200</v>
      </c>
      <c r="D6" s="88" t="s">
        <v>97</v>
      </c>
      <c r="E6" s="88" t="s">
        <v>98</v>
      </c>
      <c r="F6" s="94" t="s">
        <v>99</v>
      </c>
      <c r="G6" s="94"/>
      <c r="H6" s="95">
        <v>5520</v>
      </c>
      <c r="I6" s="95">
        <v>1920</v>
      </c>
      <c r="J6" s="95">
        <v>1920</v>
      </c>
      <c r="K6" s="95">
        <v>5520</v>
      </c>
      <c r="L6" s="95">
        <v>14880</v>
      </c>
    </row>
    <row r="7" spans="1:12" x14ac:dyDescent="0.25">
      <c r="B7" s="93">
        <v>352000</v>
      </c>
      <c r="D7" s="88" t="s">
        <v>100</v>
      </c>
      <c r="E7" s="88" t="s">
        <v>101</v>
      </c>
      <c r="F7" s="88" t="s">
        <v>102</v>
      </c>
      <c r="H7" s="95">
        <v>276</v>
      </c>
      <c r="I7" s="95">
        <v>96</v>
      </c>
      <c r="J7" s="95">
        <v>96</v>
      </c>
      <c r="K7" s="95">
        <v>276</v>
      </c>
      <c r="L7" s="95">
        <v>744</v>
      </c>
    </row>
    <row r="8" spans="1:12" x14ac:dyDescent="0.25">
      <c r="B8" s="93">
        <v>261000</v>
      </c>
      <c r="D8" s="88" t="s">
        <v>103</v>
      </c>
      <c r="E8" s="88" t="s">
        <v>104</v>
      </c>
      <c r="F8" s="88" t="s">
        <v>105</v>
      </c>
      <c r="H8" s="95">
        <v>276000</v>
      </c>
      <c r="I8" s="95">
        <v>96000</v>
      </c>
      <c r="J8" s="95">
        <v>96000</v>
      </c>
      <c r="K8" s="95"/>
      <c r="L8" s="95">
        <v>468000</v>
      </c>
    </row>
    <row r="9" spans="1:12" x14ac:dyDescent="0.25">
      <c r="B9" s="93">
        <v>365000</v>
      </c>
      <c r="D9" s="88" t="s">
        <v>106</v>
      </c>
      <c r="E9" s="88" t="s">
        <v>107</v>
      </c>
      <c r="F9" s="88" t="s">
        <v>108</v>
      </c>
      <c r="H9" s="95">
        <v>11190</v>
      </c>
      <c r="I9" s="95">
        <v>1970</v>
      </c>
      <c r="J9" s="95">
        <v>1970</v>
      </c>
      <c r="K9" s="95"/>
      <c r="L9" s="95">
        <v>15130</v>
      </c>
    </row>
    <row r="10" spans="1:12" x14ac:dyDescent="0.25">
      <c r="B10" s="96">
        <v>2235600</v>
      </c>
      <c r="F10" s="88" t="s">
        <v>109</v>
      </c>
      <c r="H10" s="95"/>
      <c r="I10" s="95"/>
      <c r="J10" s="95"/>
      <c r="K10" s="95"/>
      <c r="L10" s="95"/>
    </row>
    <row r="12" spans="1:12" x14ac:dyDescent="0.25">
      <c r="B12" s="217" t="s">
        <v>110</v>
      </c>
      <c r="C12" s="217"/>
      <c r="D12" s="217"/>
    </row>
    <row r="13" spans="1:12" x14ac:dyDescent="0.25">
      <c r="A13" s="97" t="s">
        <v>111</v>
      </c>
      <c r="B13" s="88" t="s">
        <v>112</v>
      </c>
    </row>
    <row r="14" spans="1:12" x14ac:dyDescent="0.25">
      <c r="A14" s="98"/>
      <c r="B14" s="88" t="s">
        <v>113</v>
      </c>
    </row>
    <row r="15" spans="1:12" x14ac:dyDescent="0.25">
      <c r="A15" s="97" t="s">
        <v>114</v>
      </c>
      <c r="B15" s="88" t="s">
        <v>115</v>
      </c>
    </row>
    <row r="16" spans="1:12" x14ac:dyDescent="0.25">
      <c r="A16" s="97" t="s">
        <v>116</v>
      </c>
      <c r="B16" s="88" t="s">
        <v>117</v>
      </c>
    </row>
    <row r="17" spans="1:11" x14ac:dyDescent="0.25">
      <c r="A17" s="97" t="s">
        <v>118</v>
      </c>
      <c r="B17" s="88" t="s">
        <v>119</v>
      </c>
    </row>
    <row r="18" spans="1:11" x14ac:dyDescent="0.25">
      <c r="A18" s="97"/>
      <c r="B18" s="99" t="s">
        <v>120</v>
      </c>
    </row>
    <row r="19" spans="1:11" x14ac:dyDescent="0.25">
      <c r="A19" s="97"/>
      <c r="B19" s="99" t="s">
        <v>121</v>
      </c>
    </row>
    <row r="20" spans="1:11" x14ac:dyDescent="0.25">
      <c r="A20" s="97"/>
      <c r="B20" s="99" t="s">
        <v>122</v>
      </c>
    </row>
    <row r="21" spans="1:11" x14ac:dyDescent="0.25">
      <c r="F21" s="100"/>
      <c r="G21" s="100"/>
      <c r="H21" s="100"/>
      <c r="I21" s="100"/>
      <c r="J21" s="100"/>
    </row>
    <row r="22" spans="1:11" x14ac:dyDescent="0.25">
      <c r="B22" s="91" t="s">
        <v>86</v>
      </c>
      <c r="D22" s="91" t="s">
        <v>87</v>
      </c>
      <c r="E22" s="91" t="s">
        <v>88</v>
      </c>
      <c r="F22" s="101" t="s">
        <v>123</v>
      </c>
      <c r="G22" s="91" t="s">
        <v>124</v>
      </c>
      <c r="H22" s="102" t="s">
        <v>125</v>
      </c>
      <c r="I22" s="102" t="s">
        <v>126</v>
      </c>
      <c r="J22" s="102" t="s">
        <v>127</v>
      </c>
    </row>
    <row r="23" spans="1:11" x14ac:dyDescent="0.25">
      <c r="B23" s="103">
        <f t="shared" ref="B23:B28" si="0">B5</f>
        <v>640400</v>
      </c>
      <c r="D23" s="88" t="str">
        <f t="shared" ref="D23:E27" si="1">D5</f>
        <v>Machine Maint &amp; Repair</v>
      </c>
      <c r="E23" s="88" t="str">
        <f t="shared" si="1"/>
        <v># of Equip Cleanings</v>
      </c>
      <c r="F23" s="95">
        <f>L5</f>
        <v>250</v>
      </c>
      <c r="G23" s="104"/>
      <c r="H23" s="105"/>
      <c r="I23" s="106"/>
      <c r="J23" s="106"/>
      <c r="K23" s="107"/>
    </row>
    <row r="24" spans="1:11" x14ac:dyDescent="0.25">
      <c r="B24" s="103">
        <f t="shared" si="0"/>
        <v>617200</v>
      </c>
      <c r="D24" s="88" t="str">
        <f t="shared" si="1"/>
        <v>Quality / Inspection</v>
      </c>
      <c r="E24" s="88" t="str">
        <f t="shared" si="1"/>
        <v># Inspections</v>
      </c>
      <c r="F24" s="95">
        <f>L6</f>
        <v>14880</v>
      </c>
      <c r="G24" s="104"/>
      <c r="H24" s="105"/>
      <c r="I24" s="106"/>
      <c r="J24" s="106"/>
      <c r="K24" s="107"/>
    </row>
    <row r="25" spans="1:11" x14ac:dyDescent="0.25">
      <c r="B25" s="103">
        <f t="shared" si="0"/>
        <v>352000</v>
      </c>
      <c r="D25" s="88" t="str">
        <f t="shared" si="1"/>
        <v>Sourcing / Purchasing</v>
      </c>
      <c r="E25" s="88" t="str">
        <f t="shared" si="1"/>
        <v>Purch Orders</v>
      </c>
      <c r="F25" s="95">
        <f>L7</f>
        <v>744</v>
      </c>
      <c r="G25" s="104"/>
      <c r="H25" s="105"/>
      <c r="I25" s="106"/>
      <c r="J25" s="106"/>
      <c r="K25" s="107"/>
    </row>
    <row r="26" spans="1:11" x14ac:dyDescent="0.25">
      <c r="B26" s="103">
        <f t="shared" si="0"/>
        <v>261000</v>
      </c>
      <c r="D26" s="88" t="str">
        <f t="shared" si="1"/>
        <v>Mat'l Planning &amp; Prod'n Control</v>
      </c>
      <c r="E26" s="88" t="str">
        <f t="shared" si="1"/>
        <v># Packs Mfg'd &amp; Shipped</v>
      </c>
      <c r="F26" s="95">
        <f>L8</f>
        <v>468000</v>
      </c>
      <c r="G26" s="104"/>
      <c r="H26" s="105"/>
      <c r="I26" s="108"/>
      <c r="J26" s="108"/>
      <c r="K26" s="107"/>
    </row>
    <row r="27" spans="1:11" x14ac:dyDescent="0.25">
      <c r="B27" s="103">
        <f t="shared" si="0"/>
        <v>365000</v>
      </c>
      <c r="D27" s="88" t="str">
        <f t="shared" si="1"/>
        <v>Gen'l Mfg Ovh</v>
      </c>
      <c r="E27" s="88" t="str">
        <f t="shared" si="1"/>
        <v># Mach Cleanings + # Inspect</v>
      </c>
      <c r="F27" s="95">
        <f>L9</f>
        <v>15130</v>
      </c>
      <c r="G27" s="104"/>
      <c r="H27" s="105"/>
      <c r="I27" s="106"/>
      <c r="J27" s="106"/>
      <c r="K27" s="107"/>
    </row>
    <row r="28" spans="1:11" x14ac:dyDescent="0.25">
      <c r="B28" s="109">
        <f t="shared" si="0"/>
        <v>2235600</v>
      </c>
      <c r="D28" s="88" t="s">
        <v>128</v>
      </c>
      <c r="F28" s="110" t="s">
        <v>129</v>
      </c>
      <c r="H28" s="111"/>
      <c r="I28" s="111"/>
      <c r="J28" s="111"/>
    </row>
    <row r="29" spans="1:11" x14ac:dyDescent="0.25">
      <c r="H29" s="112"/>
      <c r="I29" s="112"/>
      <c r="J29" s="112"/>
    </row>
    <row r="30" spans="1:11" x14ac:dyDescent="0.25">
      <c r="F30" s="110" t="s">
        <v>130</v>
      </c>
      <c r="H30" s="108">
        <v>4.5587275693311584</v>
      </c>
      <c r="I30" s="108">
        <v>3.7989396411092984</v>
      </c>
      <c r="J30" s="108">
        <v>6.3822185970636225</v>
      </c>
    </row>
    <row r="31" spans="1:11" x14ac:dyDescent="0.25">
      <c r="F31" s="110" t="s">
        <v>131</v>
      </c>
      <c r="H31" s="113">
        <f>H28-H30</f>
        <v>-4.5587275693311584</v>
      </c>
      <c r="I31" s="113">
        <f>I28-I30</f>
        <v>-3.7989396411092984</v>
      </c>
      <c r="J31" s="113">
        <f>J28-J30</f>
        <v>-6.3822185970636225</v>
      </c>
    </row>
    <row r="32" spans="1:11" x14ac:dyDescent="0.25">
      <c r="H32" s="112"/>
      <c r="I32" s="112"/>
      <c r="J32" s="112"/>
    </row>
    <row r="33" spans="1:11" ht="12.9" customHeight="1" x14ac:dyDescent="0.25">
      <c r="F33" s="110" t="s">
        <v>132</v>
      </c>
      <c r="H33" s="108">
        <f>'[1]Case Questions 1 - 4 &amp; answers'!G32</f>
        <v>4.146352805527215</v>
      </c>
      <c r="I33" s="108">
        <f>'[1]Case Questions 1 - 4 &amp; answers'!H32</f>
        <v>5.4724855690801855</v>
      </c>
      <c r="J33" s="108">
        <f>'[1]Case Questions 1 - 4 &amp; answers'!I32</f>
        <v>5.8942501150290711</v>
      </c>
    </row>
    <row r="34" spans="1:11" x14ac:dyDescent="0.25">
      <c r="F34" s="110" t="s">
        <v>133</v>
      </c>
      <c r="H34" s="113">
        <f>H28-H33</f>
        <v>-4.146352805527215</v>
      </c>
      <c r="I34" s="113">
        <f>I28-I33</f>
        <v>-5.4724855690801855</v>
      </c>
      <c r="J34" s="113">
        <f>J28-J33</f>
        <v>-5.8942501150290711</v>
      </c>
    </row>
    <row r="35" spans="1:11" x14ac:dyDescent="0.25">
      <c r="H35" s="112"/>
      <c r="I35" s="112"/>
      <c r="J35" s="112"/>
    </row>
    <row r="36" spans="1:11" x14ac:dyDescent="0.25">
      <c r="F36" s="114" t="s">
        <v>134</v>
      </c>
      <c r="H36" s="115">
        <v>7.5412724306688412</v>
      </c>
      <c r="I36" s="115">
        <v>4.2010603588907021</v>
      </c>
      <c r="J36" s="115">
        <v>4.1777814029363762</v>
      </c>
    </row>
    <row r="37" spans="1:11" x14ac:dyDescent="0.25">
      <c r="F37" s="114"/>
      <c r="H37" s="116">
        <v>0.34278511048494731</v>
      </c>
      <c r="I37" s="116">
        <v>0.26256627243066888</v>
      </c>
      <c r="J37" s="116">
        <v>0.18989915467892618</v>
      </c>
      <c r="K37" s="100"/>
    </row>
    <row r="38" spans="1:11" x14ac:dyDescent="0.25">
      <c r="F38" s="114"/>
      <c r="H38" s="116"/>
      <c r="I38" s="116"/>
      <c r="J38" s="116"/>
    </row>
    <row r="39" spans="1:11" x14ac:dyDescent="0.25">
      <c r="F39" s="110" t="s">
        <v>135</v>
      </c>
      <c r="H39" s="115">
        <f>H36+H30-H28</f>
        <v>12.1</v>
      </c>
      <c r="I39" s="115">
        <f>I36+I30-I28</f>
        <v>8</v>
      </c>
      <c r="J39" s="115">
        <f>J36+J30-J28</f>
        <v>10.559999999999999</v>
      </c>
    </row>
    <row r="40" spans="1:11" x14ac:dyDescent="0.25">
      <c r="H40" s="116">
        <v>0.29848528038523298</v>
      </c>
      <c r="I40" s="116">
        <v>0.26940018798856291</v>
      </c>
      <c r="J40" s="116">
        <v>0.31229104580986389</v>
      </c>
      <c r="K40" s="100"/>
    </row>
    <row r="41" spans="1:11" x14ac:dyDescent="0.25">
      <c r="A41" s="97" t="s">
        <v>136</v>
      </c>
      <c r="B41" s="88" t="s">
        <v>137</v>
      </c>
    </row>
    <row r="42" spans="1:11" x14ac:dyDescent="0.25">
      <c r="B42" s="88" t="s">
        <v>138</v>
      </c>
    </row>
    <row r="43" spans="1:11" x14ac:dyDescent="0.25">
      <c r="B43" s="100"/>
      <c r="C43" s="99" t="s">
        <v>139</v>
      </c>
      <c r="D43" s="88" t="s">
        <v>140</v>
      </c>
    </row>
    <row r="44" spans="1:11" x14ac:dyDescent="0.25">
      <c r="B44" s="100"/>
      <c r="C44" s="99" t="s">
        <v>141</v>
      </c>
      <c r="D44" s="88" t="s">
        <v>142</v>
      </c>
    </row>
    <row r="45" spans="1:11" x14ac:dyDescent="0.25">
      <c r="B45" s="100"/>
      <c r="C45" s="99" t="s">
        <v>143</v>
      </c>
      <c r="D45" s="88" t="s">
        <v>144</v>
      </c>
    </row>
    <row r="46" spans="1:11" x14ac:dyDescent="0.25">
      <c r="B46" s="100"/>
      <c r="D46" s="88" t="s">
        <v>145</v>
      </c>
    </row>
    <row r="47" spans="1:11" x14ac:dyDescent="0.25">
      <c r="B47" s="100"/>
      <c r="C47" s="99" t="s">
        <v>146</v>
      </c>
      <c r="D47" s="88" t="s">
        <v>147</v>
      </c>
    </row>
    <row r="48" spans="1:11" x14ac:dyDescent="0.25">
      <c r="B48" s="100"/>
      <c r="D48" s="99" t="s">
        <v>148</v>
      </c>
      <c r="E48" s="117"/>
    </row>
    <row r="49" spans="2:13" x14ac:dyDescent="0.25">
      <c r="B49" s="100"/>
      <c r="D49" s="99" t="s">
        <v>149</v>
      </c>
    </row>
    <row r="50" spans="2:13" x14ac:dyDescent="0.25">
      <c r="B50" s="100"/>
      <c r="D50" s="99" t="s">
        <v>150</v>
      </c>
    </row>
    <row r="51" spans="2:13" x14ac:dyDescent="0.25">
      <c r="B51" s="100"/>
      <c r="D51" s="99" t="s">
        <v>151</v>
      </c>
    </row>
    <row r="53" spans="2:13" x14ac:dyDescent="0.25">
      <c r="B53" s="88" t="s">
        <v>152</v>
      </c>
    </row>
    <row r="54" spans="2:13" x14ac:dyDescent="0.25">
      <c r="B54" s="100"/>
      <c r="C54" s="99" t="s">
        <v>153</v>
      </c>
    </row>
    <row r="55" spans="2:13" x14ac:dyDescent="0.25">
      <c r="B55" s="100"/>
      <c r="C55" s="99"/>
      <c r="D55" s="88" t="s">
        <v>154</v>
      </c>
    </row>
    <row r="56" spans="2:13" x14ac:dyDescent="0.25">
      <c r="B56" s="100"/>
      <c r="C56" s="99" t="s">
        <v>155</v>
      </c>
    </row>
    <row r="57" spans="2:13" x14ac:dyDescent="0.25">
      <c r="B57" s="100"/>
      <c r="C57" s="99"/>
    </row>
    <row r="58" spans="2:13" x14ac:dyDescent="0.25">
      <c r="B58" s="100"/>
      <c r="C58" s="99"/>
      <c r="G58" s="98" t="s">
        <v>156</v>
      </c>
      <c r="K58" s="98" t="s">
        <v>157</v>
      </c>
    </row>
    <row r="59" spans="2:13" x14ac:dyDescent="0.25">
      <c r="B59" s="100"/>
      <c r="G59" s="101" t="s">
        <v>158</v>
      </c>
      <c r="H59" s="101" t="s">
        <v>59</v>
      </c>
      <c r="I59" s="101" t="s">
        <v>159</v>
      </c>
      <c r="J59" s="101" t="s">
        <v>160</v>
      </c>
      <c r="K59" s="101" t="s">
        <v>161</v>
      </c>
    </row>
    <row r="60" spans="2:13" x14ac:dyDescent="0.25">
      <c r="B60" s="100"/>
      <c r="E60" s="218" t="s">
        <v>162</v>
      </c>
      <c r="F60" s="114" t="s">
        <v>94</v>
      </c>
      <c r="G60" s="118">
        <f t="shared" ref="G60:H62" si="2">K5</f>
        <v>100</v>
      </c>
      <c r="H60" s="118">
        <f t="shared" si="2"/>
        <v>250</v>
      </c>
      <c r="I60" s="119">
        <f>G60/H60</f>
        <v>0.4</v>
      </c>
      <c r="J60" s="120">
        <f>B23</f>
        <v>640400</v>
      </c>
      <c r="K60" s="120">
        <f>I60*J60</f>
        <v>256160</v>
      </c>
      <c r="M60" s="100"/>
    </row>
    <row r="61" spans="2:13" x14ac:dyDescent="0.25">
      <c r="B61" s="100"/>
      <c r="E61" s="219"/>
      <c r="F61" s="114" t="s">
        <v>97</v>
      </c>
      <c r="G61" s="118">
        <f t="shared" si="2"/>
        <v>5520</v>
      </c>
      <c r="H61" s="118">
        <f t="shared" si="2"/>
        <v>14880</v>
      </c>
      <c r="I61" s="119">
        <f t="shared" ref="I61:I62" si="3">G61/H61</f>
        <v>0.37096774193548387</v>
      </c>
      <c r="J61" s="120">
        <f>B24</f>
        <v>617200</v>
      </c>
      <c r="K61" s="120">
        <f t="shared" ref="K61:K62" si="4">I61*J61</f>
        <v>228961.29032258064</v>
      </c>
      <c r="M61" s="100"/>
    </row>
    <row r="62" spans="2:13" x14ac:dyDescent="0.25">
      <c r="B62" s="100"/>
      <c r="E62" s="220"/>
      <c r="F62" s="114" t="s">
        <v>100</v>
      </c>
      <c r="G62" s="118">
        <f t="shared" si="2"/>
        <v>276</v>
      </c>
      <c r="H62" s="118">
        <f t="shared" si="2"/>
        <v>744</v>
      </c>
      <c r="I62" s="119">
        <f t="shared" si="3"/>
        <v>0.37096774193548387</v>
      </c>
      <c r="J62" s="120">
        <f>B25</f>
        <v>352000</v>
      </c>
      <c r="K62" s="120">
        <f t="shared" si="4"/>
        <v>130580.64516129032</v>
      </c>
      <c r="M62" s="100"/>
    </row>
    <row r="63" spans="2:13" x14ac:dyDescent="0.25">
      <c r="B63" s="100"/>
      <c r="K63" s="109">
        <f>SUM(K60:K62)</f>
        <v>615701.93548387091</v>
      </c>
      <c r="M63" s="100"/>
    </row>
    <row r="64" spans="2:13" x14ac:dyDescent="0.25">
      <c r="B64" s="100"/>
      <c r="L64" s="101" t="s">
        <v>163</v>
      </c>
      <c r="M64" s="100"/>
    </row>
    <row r="65" spans="2:13" x14ac:dyDescent="0.25">
      <c r="B65" s="100"/>
      <c r="J65" s="110" t="s">
        <v>164</v>
      </c>
      <c r="K65" s="93">
        <v>456840</v>
      </c>
      <c r="L65" s="121">
        <v>4.7E-2</v>
      </c>
      <c r="M65" s="100"/>
    </row>
    <row r="66" spans="2:13" x14ac:dyDescent="0.25">
      <c r="B66" s="100"/>
      <c r="M66" s="100"/>
    </row>
    <row r="67" spans="2:13" x14ac:dyDescent="0.25">
      <c r="B67" s="100"/>
      <c r="J67" s="110" t="s">
        <v>165</v>
      </c>
      <c r="K67" s="109">
        <f>K63+K65</f>
        <v>1072541.935483871</v>
      </c>
      <c r="L67" s="122">
        <v>0.110343820523032</v>
      </c>
      <c r="M67" s="100"/>
    </row>
    <row r="69" spans="2:13" x14ac:dyDescent="0.25">
      <c r="B69" s="88" t="s">
        <v>166</v>
      </c>
    </row>
    <row r="70" spans="2:13" x14ac:dyDescent="0.25">
      <c r="B70" s="100"/>
      <c r="C70" s="99" t="s">
        <v>167</v>
      </c>
    </row>
    <row r="71" spans="2:13" x14ac:dyDescent="0.25">
      <c r="B71" s="100"/>
      <c r="C71" s="99" t="s">
        <v>168</v>
      </c>
    </row>
    <row r="72" spans="2:13" x14ac:dyDescent="0.25">
      <c r="B72" s="100"/>
      <c r="D72" s="88" t="s">
        <v>169</v>
      </c>
    </row>
    <row r="73" spans="2:13" x14ac:dyDescent="0.25">
      <c r="B73" s="100"/>
      <c r="C73" s="99" t="s">
        <v>170</v>
      </c>
    </row>
    <row r="74" spans="2:13" x14ac:dyDescent="0.25">
      <c r="B74" s="100"/>
      <c r="C74" s="99" t="s">
        <v>171</v>
      </c>
    </row>
    <row r="77" spans="2:13" x14ac:dyDescent="0.25">
      <c r="B77" s="88" t="s">
        <v>172</v>
      </c>
    </row>
    <row r="78" spans="2:13" x14ac:dyDescent="0.25">
      <c r="C78" s="99" t="s">
        <v>173</v>
      </c>
    </row>
    <row r="79" spans="2:13" x14ac:dyDescent="0.25">
      <c r="D79" s="88" t="s">
        <v>174</v>
      </c>
    </row>
  </sheetData>
  <mergeCells count="3">
    <mergeCell ref="D1:L1"/>
    <mergeCell ref="B12:D12"/>
    <mergeCell ref="E60:E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Office</Application>
  <DocSecurity>0</DocSecurity>
  <ScaleCrop>false</ScaleCrop>
  <HeadingPairs>
    <vt:vector size="2" baseType="variant">
      <vt:variant>
        <vt:lpstr>Worksheets</vt:lpstr>
      </vt:variant>
      <vt:variant>
        <vt:i4>9</vt:i4>
      </vt:variant>
    </vt:vector>
  </HeadingPairs>
  <TitlesOfParts>
    <vt:vector size="9" baseType="lpstr">
      <vt:lpstr>W1</vt:lpstr>
      <vt:lpstr>W2</vt:lpstr>
      <vt:lpstr>W3</vt:lpstr>
      <vt:lpstr>W4</vt:lpstr>
      <vt:lpstr>Widget Analysis</vt:lpstr>
      <vt:lpstr>5-39 (2)</vt:lpstr>
      <vt:lpstr>Studemeir ABC (2)</vt:lpstr>
      <vt:lpstr>Woodtensils 1 (2)</vt:lpstr>
      <vt:lpstr>Woodtensils 2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Eshan Mukherjee</dc:creator>
  <cp:lastModifiedBy>Eshan Mukherjee</cp:lastModifiedBy>
  <dcterms:created xsi:type="dcterms:W3CDTF">2020-09-10T00:47:19Z</dcterms:created>
  <dcterms:modified xsi:type="dcterms:W3CDTF">2024-03-19T22:15:14Z</dcterms:modified>
</cp:coreProperties>
</file>