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Equity Research\AI Power Infrastructure\"/>
    </mc:Choice>
  </mc:AlternateContent>
  <xr:revisionPtr revIDLastSave="0" documentId="13_ncr:1_{CA633F47-6CF6-459B-BB61-FB0F698DCA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Financial Review" sheetId="13" r:id="rId2"/>
    <sheet name="Enterprise Valuation" sheetId="14" r:id="rId3"/>
    <sheet name="Comparable Valuation" sheetId="15" r:id="rId4"/>
    <sheet name="Assumptions" sheetId="2" r:id="rId5"/>
    <sheet name="History" sheetId="3" r:id="rId6"/>
    <sheet name="Forecast" sheetId="4" r:id="rId7"/>
    <sheet name="Debt and Cash" sheetId="5" r:id="rId8"/>
    <sheet name="Valuation" sheetId="6" r:id="rId9"/>
    <sheet name="Scenarios" sheetId="7" r:id="rId10"/>
    <sheet name="Monitoring" sheetId="8" r:id="rId11"/>
    <sheet name="Backlog and Capacity" sheetId="9" r:id="rId12"/>
    <sheet name="Peer Benchmarks" sheetId="10" r:id="rId13"/>
    <sheet name="Expectations" sheetId="11" r:id="rId14"/>
    <sheet name="Checks" sheetId="12" r:id="rId15"/>
  </sheets>
  <definedNames>
    <definedName name="_xlnm.Print_Area" localSheetId="3">'Comparable Valuation'!$C$2:$K$41</definedName>
    <definedName name="_xlnm.Print_Area" localSheetId="2">'Enterprise Valuation'!$C$2:$I$57</definedName>
    <definedName name="_xlnm.Print_Area" localSheetId="1">'Financial Review'!$C$2:$K$64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2" l="1"/>
  <c r="J14" i="12"/>
  <c r="I14" i="12"/>
  <c r="H14" i="12"/>
  <c r="G14" i="12"/>
  <c r="F14" i="12"/>
  <c r="K13" i="12"/>
  <c r="J13" i="12"/>
  <c r="I13" i="12"/>
  <c r="H13" i="12"/>
  <c r="G13" i="12"/>
  <c r="F13" i="12"/>
  <c r="J10" i="10"/>
  <c r="I10" i="10"/>
  <c r="J9" i="10"/>
  <c r="K11" i="9"/>
  <c r="J11" i="9"/>
  <c r="I11" i="9"/>
  <c r="H11" i="9"/>
  <c r="G11" i="9"/>
  <c r="F11" i="9"/>
  <c r="F12" i="9" s="1"/>
  <c r="D20" i="6"/>
  <c r="D34" i="14" s="1"/>
  <c r="K11" i="6"/>
  <c r="J11" i="6"/>
  <c r="I11" i="6"/>
  <c r="H11" i="6"/>
  <c r="G11" i="6"/>
  <c r="K16" i="5"/>
  <c r="J16" i="5"/>
  <c r="I16" i="5"/>
  <c r="H16" i="5"/>
  <c r="G16" i="5"/>
  <c r="F16" i="5"/>
  <c r="K10" i="5"/>
  <c r="K30" i="4" s="1"/>
  <c r="K50" i="13" s="1"/>
  <c r="J10" i="5"/>
  <c r="J30" i="4" s="1"/>
  <c r="J50" i="13" s="1"/>
  <c r="I10" i="5"/>
  <c r="I30" i="4" s="1"/>
  <c r="I50" i="13" s="1"/>
  <c r="H10" i="5"/>
  <c r="H30" i="4" s="1"/>
  <c r="H50" i="13" s="1"/>
  <c r="G10" i="5"/>
  <c r="G30" i="4" s="1"/>
  <c r="G50" i="13" s="1"/>
  <c r="F10" i="5"/>
  <c r="F30" i="4" s="1"/>
  <c r="F50" i="13" s="1"/>
  <c r="F49" i="4"/>
  <c r="G49" i="4" s="1"/>
  <c r="H49" i="4" s="1"/>
  <c r="I49" i="4" s="1"/>
  <c r="J49" i="4" s="1"/>
  <c r="K49" i="4" s="1"/>
  <c r="E44" i="4"/>
  <c r="E35" i="13" s="1"/>
  <c r="D44" i="4"/>
  <c r="D35" i="13" s="1"/>
  <c r="E43" i="4"/>
  <c r="D43" i="4"/>
  <c r="D34" i="13" s="1"/>
  <c r="E41" i="4"/>
  <c r="D41" i="4"/>
  <c r="D32" i="13" s="1"/>
  <c r="E40" i="4"/>
  <c r="D40" i="4"/>
  <c r="E36" i="4"/>
  <c r="D36" i="4"/>
  <c r="F35" i="4"/>
  <c r="F55" i="13" s="1"/>
  <c r="K33" i="4"/>
  <c r="K53" i="13" s="1"/>
  <c r="J33" i="4"/>
  <c r="J53" i="13" s="1"/>
  <c r="I33" i="4"/>
  <c r="I53" i="13" s="1"/>
  <c r="H33" i="4"/>
  <c r="H53" i="13" s="1"/>
  <c r="G33" i="4"/>
  <c r="G53" i="13" s="1"/>
  <c r="F33" i="4"/>
  <c r="F53" i="13" s="1"/>
  <c r="E28" i="4"/>
  <c r="E48" i="13" s="1"/>
  <c r="D28" i="4"/>
  <c r="D48" i="13" s="1"/>
  <c r="E27" i="4"/>
  <c r="E47" i="13" s="1"/>
  <c r="D27" i="4"/>
  <c r="D47" i="13" s="1"/>
  <c r="E24" i="4"/>
  <c r="E31" i="13" s="1"/>
  <c r="D24" i="4"/>
  <c r="D31" i="13" s="1"/>
  <c r="E23" i="4"/>
  <c r="E30" i="13" s="1"/>
  <c r="D23" i="4"/>
  <c r="D30" i="13" s="1"/>
  <c r="E22" i="4"/>
  <c r="E26" i="13" s="1"/>
  <c r="D22" i="4"/>
  <c r="D26" i="13" s="1"/>
  <c r="E21" i="4"/>
  <c r="E25" i="13" s="1"/>
  <c r="D21" i="4"/>
  <c r="D25" i="13" s="1"/>
  <c r="E20" i="4"/>
  <c r="E44" i="13" s="1"/>
  <c r="D20" i="4"/>
  <c r="D44" i="13" s="1"/>
  <c r="E18" i="4"/>
  <c r="D18" i="4"/>
  <c r="E13" i="4"/>
  <c r="E12" i="13" s="1"/>
  <c r="D13" i="4"/>
  <c r="D12" i="13" s="1"/>
  <c r="E12" i="4"/>
  <c r="D12" i="4"/>
  <c r="E9" i="4"/>
  <c r="E9" i="13" s="1"/>
  <c r="D9" i="4"/>
  <c r="D9" i="13" s="1"/>
  <c r="K65" i="2"/>
  <c r="K12" i="5" s="1"/>
  <c r="J65" i="2"/>
  <c r="J12" i="5" s="1"/>
  <c r="I65" i="2"/>
  <c r="I12" i="5" s="1"/>
  <c r="H65" i="2"/>
  <c r="H12" i="5" s="1"/>
  <c r="G65" i="2"/>
  <c r="G12" i="5" s="1"/>
  <c r="F65" i="2"/>
  <c r="F12" i="5" s="1"/>
  <c r="K60" i="2"/>
  <c r="J60" i="2"/>
  <c r="I60" i="2"/>
  <c r="H60" i="2"/>
  <c r="G60" i="2"/>
  <c r="F60" i="2"/>
  <c r="K55" i="2"/>
  <c r="K11" i="5" s="1"/>
  <c r="J55" i="2"/>
  <c r="J11" i="5" s="1"/>
  <c r="I55" i="2"/>
  <c r="I11" i="5" s="1"/>
  <c r="H55" i="2"/>
  <c r="H11" i="5" s="1"/>
  <c r="G55" i="2"/>
  <c r="G11" i="5" s="1"/>
  <c r="F55" i="2"/>
  <c r="F11" i="5" s="1"/>
  <c r="K50" i="2"/>
  <c r="J50" i="2"/>
  <c r="I50" i="2"/>
  <c r="H50" i="2"/>
  <c r="G50" i="2"/>
  <c r="F50" i="2"/>
  <c r="K45" i="2"/>
  <c r="J45" i="2"/>
  <c r="I45" i="2"/>
  <c r="H45" i="2"/>
  <c r="G45" i="2"/>
  <c r="F45" i="2"/>
  <c r="K40" i="2"/>
  <c r="J40" i="2"/>
  <c r="I40" i="2"/>
  <c r="H40" i="2"/>
  <c r="G40" i="2"/>
  <c r="F40" i="2"/>
  <c r="K35" i="2"/>
  <c r="J35" i="2"/>
  <c r="I35" i="2"/>
  <c r="H35" i="2"/>
  <c r="G35" i="2"/>
  <c r="F35" i="2"/>
  <c r="K30" i="2"/>
  <c r="J30" i="2"/>
  <c r="I30" i="2"/>
  <c r="H30" i="2"/>
  <c r="G30" i="2"/>
  <c r="F30" i="2"/>
  <c r="K25" i="2"/>
  <c r="J25" i="2"/>
  <c r="I25" i="2"/>
  <c r="H25" i="2"/>
  <c r="G25" i="2"/>
  <c r="F25" i="2"/>
  <c r="K20" i="2"/>
  <c r="J20" i="2"/>
  <c r="I20" i="2"/>
  <c r="H20" i="2"/>
  <c r="G20" i="2"/>
  <c r="F20" i="2"/>
  <c r="K15" i="2"/>
  <c r="J15" i="2"/>
  <c r="I15" i="2"/>
  <c r="H15" i="2"/>
  <c r="G15" i="2"/>
  <c r="F15" i="2"/>
  <c r="K10" i="2"/>
  <c r="J10" i="2"/>
  <c r="I10" i="2"/>
  <c r="H10" i="2"/>
  <c r="G10" i="2"/>
  <c r="F10" i="2"/>
  <c r="F4" i="2"/>
  <c r="D9" i="1" s="1"/>
  <c r="K11" i="15"/>
  <c r="G11" i="15"/>
  <c r="E11" i="15"/>
  <c r="H11" i="15" s="1"/>
  <c r="D11" i="15"/>
  <c r="C11" i="15"/>
  <c r="K10" i="15"/>
  <c r="G10" i="15"/>
  <c r="E10" i="15"/>
  <c r="H10" i="15" s="1"/>
  <c r="D10" i="15"/>
  <c r="C10" i="15"/>
  <c r="K9" i="15"/>
  <c r="G9" i="15"/>
  <c r="E9" i="15"/>
  <c r="H9" i="15" s="1"/>
  <c r="D9" i="15"/>
  <c r="C9" i="15"/>
  <c r="D42" i="14"/>
  <c r="D41" i="14"/>
  <c r="D36" i="14"/>
  <c r="D33" i="14"/>
  <c r="H21" i="14"/>
  <c r="G21" i="14"/>
  <c r="F21" i="14"/>
  <c r="E21" i="14"/>
  <c r="D21" i="14"/>
  <c r="H6" i="14"/>
  <c r="G6" i="14"/>
  <c r="F6" i="14"/>
  <c r="E6" i="14"/>
  <c r="D6" i="14"/>
  <c r="K52" i="13"/>
  <c r="J52" i="13"/>
  <c r="I52" i="13"/>
  <c r="H52" i="13"/>
  <c r="G52" i="13"/>
  <c r="F52" i="13"/>
  <c r="K7" i="13"/>
  <c r="J7" i="13"/>
  <c r="I7" i="13"/>
  <c r="H7" i="13"/>
  <c r="G7" i="13"/>
  <c r="F7" i="13"/>
  <c r="E7" i="13"/>
  <c r="D7" i="13"/>
  <c r="K6" i="13"/>
  <c r="J6" i="13"/>
  <c r="I6" i="13"/>
  <c r="H6" i="13"/>
  <c r="G6" i="13"/>
  <c r="F6" i="13"/>
  <c r="E6" i="13"/>
  <c r="D6" i="13"/>
  <c r="D11" i="1"/>
  <c r="F9" i="5" l="1"/>
  <c r="E32" i="13"/>
  <c r="E56" i="13"/>
  <c r="E24" i="13"/>
  <c r="D56" i="13"/>
  <c r="D24" i="13"/>
  <c r="E42" i="13"/>
  <c r="E17" i="13"/>
  <c r="D42" i="13"/>
  <c r="D17" i="13"/>
  <c r="E43" i="13"/>
  <c r="E11" i="13"/>
  <c r="D11" i="4"/>
  <c r="D51" i="4" s="1"/>
  <c r="D11" i="13"/>
  <c r="D43" i="13"/>
  <c r="F43" i="4"/>
  <c r="E34" i="13"/>
  <c r="F11" i="15"/>
  <c r="F9" i="15"/>
  <c r="E25" i="4"/>
  <c r="D25" i="4"/>
  <c r="E11" i="4"/>
  <c r="D42" i="4"/>
  <c r="F14" i="9"/>
  <c r="F10" i="9" s="1"/>
  <c r="F13" i="9" s="1"/>
  <c r="F15" i="9" s="1"/>
  <c r="E39" i="4"/>
  <c r="E27" i="13" s="1"/>
  <c r="E42" i="4"/>
  <c r="E33" i="13" s="1"/>
  <c r="D39" i="4"/>
  <c r="D27" i="13" s="1"/>
  <c r="F10" i="15"/>
  <c r="J11" i="15"/>
  <c r="I11" i="15"/>
  <c r="J10" i="15"/>
  <c r="I10" i="15"/>
  <c r="J9" i="15"/>
  <c r="I9" i="15"/>
  <c r="F14" i="5" l="1"/>
  <c r="F15" i="5"/>
  <c r="F31" i="4" s="1"/>
  <c r="F51" i="13" s="1"/>
  <c r="F13" i="5"/>
  <c r="F14" i="4" s="1"/>
  <c r="F13" i="13" s="1"/>
  <c r="E28" i="13"/>
  <c r="D28" i="13"/>
  <c r="D10" i="13"/>
  <c r="D50" i="4"/>
  <c r="G43" i="4"/>
  <c r="F34" i="13"/>
  <c r="E36" i="13"/>
  <c r="E45" i="4"/>
  <c r="E46" i="4" s="1"/>
  <c r="F42" i="4"/>
  <c r="E51" i="4"/>
  <c r="E10" i="13"/>
  <c r="E50" i="4"/>
  <c r="D45" i="4"/>
  <c r="D46" i="4" s="1"/>
  <c r="D33" i="13"/>
  <c r="D36" i="13" s="1"/>
  <c r="F9" i="4"/>
  <c r="F16" i="9"/>
  <c r="F17" i="9"/>
  <c r="J14" i="15"/>
  <c r="D24" i="15" s="1"/>
  <c r="J15" i="15"/>
  <c r="J16" i="15"/>
  <c r="E24" i="15" s="1"/>
  <c r="I14" i="15"/>
  <c r="D23" i="15" s="1"/>
  <c r="I15" i="15"/>
  <c r="I16" i="15"/>
  <c r="E23" i="15" s="1"/>
  <c r="E37" i="13" l="1"/>
  <c r="D37" i="13"/>
  <c r="F15" i="4"/>
  <c r="F17" i="5"/>
  <c r="H43" i="4"/>
  <c r="G34" i="13"/>
  <c r="F33" i="13"/>
  <c r="G42" i="4"/>
  <c r="F9" i="13"/>
  <c r="F28" i="4"/>
  <c r="F11" i="4"/>
  <c r="F22" i="4"/>
  <c r="F26" i="13" s="1"/>
  <c r="F21" i="4"/>
  <c r="F12" i="4"/>
  <c r="F24" i="4"/>
  <c r="F31" i="13" s="1"/>
  <c r="F20" i="4"/>
  <c r="F44" i="13" s="1"/>
  <c r="G14" i="9"/>
  <c r="G10" i="9" s="1"/>
  <c r="G13" i="9" s="1"/>
  <c r="F23" i="4"/>
  <c r="F30" i="13" s="1"/>
  <c r="F10" i="4"/>
  <c r="F18" i="9"/>
  <c r="G9" i="9"/>
  <c r="G12" i="9" s="1"/>
  <c r="F23" i="15"/>
  <c r="F24" i="15"/>
  <c r="F45" i="13" l="1"/>
  <c r="F14" i="13"/>
  <c r="F18" i="5"/>
  <c r="F10" i="12" s="1"/>
  <c r="F41" i="4"/>
  <c r="I43" i="4"/>
  <c r="H34" i="13"/>
  <c r="G33" i="13"/>
  <c r="H42" i="4"/>
  <c r="F25" i="13"/>
  <c r="F25" i="4"/>
  <c r="F26" i="4" s="1"/>
  <c r="F46" i="13" s="1"/>
  <c r="F43" i="13"/>
  <c r="F11" i="13"/>
  <c r="F48" i="13"/>
  <c r="F39" i="4"/>
  <c r="F27" i="13" s="1"/>
  <c r="F13" i="4"/>
  <c r="F10" i="13"/>
  <c r="F50" i="4"/>
  <c r="G15" i="9"/>
  <c r="F32" i="13" l="1"/>
  <c r="G9" i="5"/>
  <c r="I34" i="13"/>
  <c r="J43" i="4"/>
  <c r="F12" i="13"/>
  <c r="F15" i="13" s="1"/>
  <c r="I42" i="4"/>
  <c r="H33" i="13"/>
  <c r="F16" i="4"/>
  <c r="F17" i="4" s="1"/>
  <c r="F48" i="4"/>
  <c r="G16" i="9"/>
  <c r="G17" i="9"/>
  <c r="G9" i="4"/>
  <c r="G13" i="5" l="1"/>
  <c r="G14" i="4" s="1"/>
  <c r="G13" i="13" s="1"/>
  <c r="G14" i="5"/>
  <c r="G15" i="5"/>
  <c r="G31" i="4" s="1"/>
  <c r="G51" i="13" s="1"/>
  <c r="K43" i="4"/>
  <c r="K34" i="13" s="1"/>
  <c r="J34" i="13"/>
  <c r="I33" i="13"/>
  <c r="J42" i="4"/>
  <c r="F16" i="13"/>
  <c r="F17" i="13" s="1"/>
  <c r="F18" i="4"/>
  <c r="H9" i="9"/>
  <c r="G18" i="9"/>
  <c r="G11" i="4"/>
  <c r="D9" i="14"/>
  <c r="D59" i="1"/>
  <c r="G24" i="4"/>
  <c r="G31" i="13" s="1"/>
  <c r="H14" i="9"/>
  <c r="H10" i="9" s="1"/>
  <c r="G20" i="4"/>
  <c r="G44" i="13" s="1"/>
  <c r="G12" i="4"/>
  <c r="G9" i="13"/>
  <c r="G28" i="4"/>
  <c r="G23" i="4"/>
  <c r="G21" i="4"/>
  <c r="G10" i="4"/>
  <c r="G22" i="4"/>
  <c r="G26" i="13" s="1"/>
  <c r="G17" i="5" l="1"/>
  <c r="G15" i="4"/>
  <c r="K42" i="4"/>
  <c r="K33" i="13" s="1"/>
  <c r="J33" i="13"/>
  <c r="F44" i="4"/>
  <c r="F27" i="4"/>
  <c r="F42" i="13"/>
  <c r="F47" i="13" s="1"/>
  <c r="F49" i="13" s="1"/>
  <c r="F54" i="13" s="1"/>
  <c r="F56" i="13" s="1"/>
  <c r="H12" i="9"/>
  <c r="G13" i="4"/>
  <c r="G50" i="4"/>
  <c r="E59" i="1"/>
  <c r="G10" i="13"/>
  <c r="D10" i="14"/>
  <c r="H13" i="9"/>
  <c r="D11" i="14"/>
  <c r="D14" i="14"/>
  <c r="G11" i="13"/>
  <c r="G43" i="13"/>
  <c r="G39" i="4"/>
  <c r="D15" i="14"/>
  <c r="G48" i="13"/>
  <c r="G30" i="13"/>
  <c r="G25" i="4"/>
  <c r="G26" i="4" s="1"/>
  <c r="G25" i="13"/>
  <c r="G18" i="5" l="1"/>
  <c r="G10" i="12" s="1"/>
  <c r="G41" i="4"/>
  <c r="G45" i="13"/>
  <c r="G14" i="13"/>
  <c r="F45" i="4"/>
  <c r="F35" i="13"/>
  <c r="F36" i="13" s="1"/>
  <c r="F51" i="4"/>
  <c r="F29" i="4"/>
  <c r="F34" i="4" s="1"/>
  <c r="F36" i="4" s="1"/>
  <c r="H15" i="9"/>
  <c r="G12" i="13"/>
  <c r="G15" i="13" s="1"/>
  <c r="G48" i="4"/>
  <c r="G16" i="4"/>
  <c r="D12" i="14"/>
  <c r="D13" i="14" s="1"/>
  <c r="G27" i="13"/>
  <c r="G46" i="13"/>
  <c r="D16" i="14"/>
  <c r="H9" i="5" l="1"/>
  <c r="G32" i="13"/>
  <c r="F57" i="13"/>
  <c r="F52" i="4"/>
  <c r="F24" i="13"/>
  <c r="F28" i="13" s="1"/>
  <c r="F37" i="13" s="1"/>
  <c r="G35" i="4"/>
  <c r="G55" i="13" s="1"/>
  <c r="F40" i="4"/>
  <c r="F11" i="12"/>
  <c r="D17" i="14"/>
  <c r="H16" i="9"/>
  <c r="H9" i="4"/>
  <c r="H17" i="9"/>
  <c r="G9" i="6"/>
  <c r="G12" i="6" s="1"/>
  <c r="D18" i="14"/>
  <c r="G17" i="4"/>
  <c r="H14" i="5" l="1"/>
  <c r="H15" i="5"/>
  <c r="H31" i="4" s="1"/>
  <c r="H51" i="13" s="1"/>
  <c r="H13" i="5"/>
  <c r="H14" i="4" s="1"/>
  <c r="H13" i="13" s="1"/>
  <c r="F46" i="4"/>
  <c r="F9" i="12" s="1"/>
  <c r="F12" i="12"/>
  <c r="I9" i="9"/>
  <c r="I12" i="9" s="1"/>
  <c r="H18" i="9"/>
  <c r="D19" i="14"/>
  <c r="D22" i="14"/>
  <c r="H24" i="4"/>
  <c r="H31" i="13" s="1"/>
  <c r="H11" i="4"/>
  <c r="H20" i="4"/>
  <c r="H44" i="13" s="1"/>
  <c r="H23" i="4"/>
  <c r="H30" i="13" s="1"/>
  <c r="H21" i="4"/>
  <c r="H28" i="4"/>
  <c r="D60" i="1"/>
  <c r="H10" i="4"/>
  <c r="H12" i="4"/>
  <c r="E9" i="14"/>
  <c r="H9" i="13"/>
  <c r="H22" i="4"/>
  <c r="H26" i="13" s="1"/>
  <c r="I14" i="9"/>
  <c r="I10" i="9" s="1"/>
  <c r="I13" i="9" s="1"/>
  <c r="G16" i="13"/>
  <c r="G17" i="13" s="1"/>
  <c r="G18" i="4"/>
  <c r="H17" i="5" l="1"/>
  <c r="H15" i="4"/>
  <c r="I15" i="9"/>
  <c r="H50" i="4"/>
  <c r="E60" i="1"/>
  <c r="H13" i="4"/>
  <c r="E10" i="14"/>
  <c r="H10" i="13"/>
  <c r="H25" i="13"/>
  <c r="H25" i="4"/>
  <c r="H26" i="4" s="1"/>
  <c r="H39" i="4"/>
  <c r="H27" i="13" s="1"/>
  <c r="H48" i="13"/>
  <c r="E15" i="14"/>
  <c r="E14" i="14"/>
  <c r="H11" i="13"/>
  <c r="H43" i="13"/>
  <c r="E11" i="14"/>
  <c r="G27" i="4"/>
  <c r="G42" i="13"/>
  <c r="G47" i="13" s="1"/>
  <c r="G49" i="13" s="1"/>
  <c r="G54" i="13" s="1"/>
  <c r="G56" i="13" s="1"/>
  <c r="G44" i="4"/>
  <c r="H41" i="4" l="1"/>
  <c r="H18" i="5"/>
  <c r="H10" i="12" s="1"/>
  <c r="H45" i="13"/>
  <c r="H14" i="13"/>
  <c r="H12" i="13"/>
  <c r="I17" i="9"/>
  <c r="I16" i="9"/>
  <c r="I9" i="4"/>
  <c r="H16" i="4"/>
  <c r="H17" i="4" s="1"/>
  <c r="E12" i="14"/>
  <c r="E13" i="14" s="1"/>
  <c r="H48" i="4"/>
  <c r="E16" i="14"/>
  <c r="H46" i="13"/>
  <c r="G29" i="4"/>
  <c r="G34" i="4" s="1"/>
  <c r="G36" i="4" s="1"/>
  <c r="G51" i="4"/>
  <c r="G35" i="13"/>
  <c r="G36" i="13" s="1"/>
  <c r="G45" i="4"/>
  <c r="H15" i="13" l="1"/>
  <c r="H32" i="13"/>
  <c r="I9" i="5"/>
  <c r="J14" i="9"/>
  <c r="J10" i="9" s="1"/>
  <c r="J13" i="9" s="1"/>
  <c r="I23" i="4"/>
  <c r="I30" i="13" s="1"/>
  <c r="I9" i="13"/>
  <c r="I22" i="4"/>
  <c r="I26" i="13" s="1"/>
  <c r="I10" i="4"/>
  <c r="D61" i="1"/>
  <c r="I24" i="4"/>
  <c r="I31" i="13" s="1"/>
  <c r="J9" i="9"/>
  <c r="J12" i="9" s="1"/>
  <c r="I18" i="9"/>
  <c r="I21" i="4"/>
  <c r="I20" i="4"/>
  <c r="I44" i="13" s="1"/>
  <c r="I12" i="4"/>
  <c r="F9" i="14"/>
  <c r="I28" i="4"/>
  <c r="I11" i="4"/>
  <c r="E17" i="14"/>
  <c r="E22" i="14" s="1"/>
  <c r="E18" i="14"/>
  <c r="H9" i="6"/>
  <c r="H12" i="6" s="1"/>
  <c r="H16" i="13"/>
  <c r="H18" i="4"/>
  <c r="H27" i="4" s="1"/>
  <c r="G57" i="13"/>
  <c r="G40" i="4"/>
  <c r="H35" i="4"/>
  <c r="H55" i="13" s="1"/>
  <c r="G52" i="4"/>
  <c r="G11" i="12"/>
  <c r="G24" i="13"/>
  <c r="G28" i="13" s="1"/>
  <c r="G37" i="13" s="1"/>
  <c r="H17" i="13" l="1"/>
  <c r="I13" i="5"/>
  <c r="I14" i="4" s="1"/>
  <c r="I13" i="13" s="1"/>
  <c r="I15" i="5"/>
  <c r="I31" i="4" s="1"/>
  <c r="I51" i="13" s="1"/>
  <c r="I14" i="5"/>
  <c r="I25" i="4"/>
  <c r="I26" i="4" s="1"/>
  <c r="I25" i="13"/>
  <c r="I11" i="13"/>
  <c r="F11" i="14"/>
  <c r="F14" i="14"/>
  <c r="I43" i="13"/>
  <c r="I39" i="4"/>
  <c r="I27" i="13" s="1"/>
  <c r="F15" i="14"/>
  <c r="I48" i="13"/>
  <c r="E19" i="14"/>
  <c r="F10" i="14"/>
  <c r="E61" i="1"/>
  <c r="I50" i="4"/>
  <c r="I13" i="4"/>
  <c r="I10" i="13"/>
  <c r="H44" i="4"/>
  <c r="H42" i="13"/>
  <c r="H47" i="13" s="1"/>
  <c r="H49" i="13" s="1"/>
  <c r="H54" i="13" s="1"/>
  <c r="H56" i="13" s="1"/>
  <c r="J15" i="9"/>
  <c r="H51" i="4"/>
  <c r="H29" i="4"/>
  <c r="H34" i="4" s="1"/>
  <c r="H36" i="4" s="1"/>
  <c r="G46" i="4"/>
  <c r="G9" i="12" s="1"/>
  <c r="G12" i="12"/>
  <c r="I17" i="5" l="1"/>
  <c r="I15" i="4"/>
  <c r="I12" i="13"/>
  <c r="I16" i="4"/>
  <c r="I17" i="4" s="1"/>
  <c r="I46" i="13"/>
  <c r="F16" i="14"/>
  <c r="I48" i="4"/>
  <c r="F12" i="14"/>
  <c r="F13" i="14" s="1"/>
  <c r="H35" i="13"/>
  <c r="H36" i="13" s="1"/>
  <c r="H45" i="4"/>
  <c r="J9" i="4"/>
  <c r="J17" i="9"/>
  <c r="J16" i="9"/>
  <c r="H57" i="13"/>
  <c r="H40" i="4"/>
  <c r="I35" i="4"/>
  <c r="I55" i="13" s="1"/>
  <c r="H52" i="4"/>
  <c r="H11" i="12"/>
  <c r="H24" i="13"/>
  <c r="H28" i="13" s="1"/>
  <c r="I18" i="5" l="1"/>
  <c r="I10" i="12" s="1"/>
  <c r="I41" i="4"/>
  <c r="I14" i="13"/>
  <c r="I15" i="13" s="1"/>
  <c r="I45" i="13"/>
  <c r="I9" i="6"/>
  <c r="I12" i="6" s="1"/>
  <c r="F18" i="14"/>
  <c r="F17" i="14"/>
  <c r="H37" i="13"/>
  <c r="J12" i="4"/>
  <c r="J11" i="4"/>
  <c r="J10" i="4"/>
  <c r="J9" i="13"/>
  <c r="D62" i="1"/>
  <c r="K14" i="9"/>
  <c r="K10" i="9" s="1"/>
  <c r="K13" i="9" s="1"/>
  <c r="J24" i="4"/>
  <c r="J31" i="13" s="1"/>
  <c r="G9" i="14"/>
  <c r="J28" i="4"/>
  <c r="J20" i="4"/>
  <c r="J44" i="13" s="1"/>
  <c r="J23" i="4"/>
  <c r="J30" i="13" s="1"/>
  <c r="J22" i="4"/>
  <c r="J26" i="13" s="1"/>
  <c r="J21" i="4"/>
  <c r="K9" i="9"/>
  <c r="K12" i="9" s="1"/>
  <c r="J18" i="9"/>
  <c r="H46" i="4"/>
  <c r="H9" i="12" s="1"/>
  <c r="H12" i="12"/>
  <c r="I16" i="13"/>
  <c r="I18" i="4"/>
  <c r="I32" i="13" l="1"/>
  <c r="J9" i="5"/>
  <c r="I17" i="13"/>
  <c r="F22" i="14"/>
  <c r="F19" i="14"/>
  <c r="J11" i="13"/>
  <c r="J43" i="13"/>
  <c r="G11" i="14"/>
  <c r="G14" i="14"/>
  <c r="J50" i="4"/>
  <c r="E62" i="1"/>
  <c r="J13" i="4"/>
  <c r="G12" i="14" s="1"/>
  <c r="G13" i="14" s="1"/>
  <c r="G10" i="14"/>
  <c r="J10" i="13"/>
  <c r="J39" i="4"/>
  <c r="J27" i="13" s="1"/>
  <c r="G15" i="14"/>
  <c r="J48" i="13"/>
  <c r="J25" i="13"/>
  <c r="J25" i="4"/>
  <c r="J26" i="4" s="1"/>
  <c r="J46" i="13" s="1"/>
  <c r="I27" i="4"/>
  <c r="I42" i="13"/>
  <c r="I47" i="13" s="1"/>
  <c r="I49" i="13" s="1"/>
  <c r="I54" i="13" s="1"/>
  <c r="I56" i="13" s="1"/>
  <c r="I44" i="4"/>
  <c r="K15" i="9"/>
  <c r="J13" i="5" l="1"/>
  <c r="J14" i="4" s="1"/>
  <c r="J13" i="13" s="1"/>
  <c r="J14" i="5"/>
  <c r="J15" i="5"/>
  <c r="J31" i="4" s="1"/>
  <c r="J51" i="13" s="1"/>
  <c r="J12" i="13"/>
  <c r="J48" i="4"/>
  <c r="G16" i="14"/>
  <c r="G17" i="14" s="1"/>
  <c r="J17" i="5"/>
  <c r="J15" i="4"/>
  <c r="J16" i="4" s="1"/>
  <c r="I29" i="4"/>
  <c r="I34" i="4" s="1"/>
  <c r="I36" i="4" s="1"/>
  <c r="I51" i="4"/>
  <c r="I45" i="4"/>
  <c r="I35" i="13"/>
  <c r="I36" i="13" s="1"/>
  <c r="K17" i="9"/>
  <c r="K16" i="9"/>
  <c r="K18" i="9" s="1"/>
  <c r="K9" i="4"/>
  <c r="J9" i="6" l="1"/>
  <c r="J12" i="6" s="1"/>
  <c r="G18" i="14"/>
  <c r="G19" i="14" s="1"/>
  <c r="J18" i="5"/>
  <c r="J10" i="12" s="1"/>
  <c r="J41" i="4"/>
  <c r="J45" i="13"/>
  <c r="J14" i="13"/>
  <c r="J15" i="13" s="1"/>
  <c r="I57" i="13"/>
  <c r="I40" i="4"/>
  <c r="I52" i="4"/>
  <c r="I11" i="12"/>
  <c r="I24" i="13"/>
  <c r="I28" i="13" s="1"/>
  <c r="I37" i="13" s="1"/>
  <c r="J35" i="4"/>
  <c r="J55" i="13" s="1"/>
  <c r="D63" i="1"/>
  <c r="K22" i="4"/>
  <c r="K26" i="13" s="1"/>
  <c r="K23" i="4"/>
  <c r="K11" i="4"/>
  <c r="K10" i="4"/>
  <c r="K9" i="13"/>
  <c r="K21" i="4"/>
  <c r="K28" i="4"/>
  <c r="K24" i="4"/>
  <c r="K31" i="13" s="1"/>
  <c r="H9" i="14"/>
  <c r="K20" i="4"/>
  <c r="K44" i="13" s="1"/>
  <c r="K12" i="4"/>
  <c r="D12" i="1"/>
  <c r="G22" i="14"/>
  <c r="J17" i="4"/>
  <c r="K9" i="5" l="1"/>
  <c r="J32" i="13"/>
  <c r="I46" i="4"/>
  <c r="I9" i="12" s="1"/>
  <c r="I12" i="12"/>
  <c r="K30" i="13"/>
  <c r="D13" i="1"/>
  <c r="E63" i="1"/>
  <c r="K10" i="13"/>
  <c r="H10" i="14"/>
  <c r="K13" i="4"/>
  <c r="K50" i="4"/>
  <c r="K25" i="13"/>
  <c r="K25" i="4"/>
  <c r="K26" i="4" s="1"/>
  <c r="K39" i="4"/>
  <c r="K27" i="13" s="1"/>
  <c r="H15" i="14"/>
  <c r="K48" i="13"/>
  <c r="K11" i="13"/>
  <c r="H11" i="14"/>
  <c r="H14" i="14"/>
  <c r="K43" i="13"/>
  <c r="J16" i="13"/>
  <c r="J17" i="13" s="1"/>
  <c r="J18" i="4"/>
  <c r="K13" i="5" l="1"/>
  <c r="K14" i="4" s="1"/>
  <c r="K13" i="13" s="1"/>
  <c r="K14" i="5"/>
  <c r="K15" i="5"/>
  <c r="K31" i="4" s="1"/>
  <c r="K51" i="13" s="1"/>
  <c r="K48" i="4"/>
  <c r="H12" i="14"/>
  <c r="H13" i="14" s="1"/>
  <c r="H16" i="14"/>
  <c r="K46" i="13"/>
  <c r="J42" i="13"/>
  <c r="J47" i="13" s="1"/>
  <c r="J49" i="13" s="1"/>
  <c r="J54" i="13" s="1"/>
  <c r="J56" i="13" s="1"/>
  <c r="J27" i="4"/>
  <c r="J44" i="4"/>
  <c r="K12" i="13"/>
  <c r="H17" i="14" l="1"/>
  <c r="K17" i="5"/>
  <c r="K15" i="4"/>
  <c r="E38" i="6"/>
  <c r="D38" i="6"/>
  <c r="F36" i="6"/>
  <c r="F34" i="6"/>
  <c r="G34" i="6"/>
  <c r="F37" i="6"/>
  <c r="G37" i="6"/>
  <c r="E35" i="6"/>
  <c r="E37" i="6"/>
  <c r="G38" i="6"/>
  <c r="F35" i="6"/>
  <c r="D37" i="6"/>
  <c r="D35" i="6"/>
  <c r="G36" i="6"/>
  <c r="E36" i="6"/>
  <c r="D36" i="6"/>
  <c r="F38" i="6"/>
  <c r="G35" i="6"/>
  <c r="E34" i="6"/>
  <c r="D34" i="6"/>
  <c r="D14" i="11"/>
  <c r="F14" i="11" s="1"/>
  <c r="D11" i="11"/>
  <c r="F11" i="11" s="1"/>
  <c r="D10" i="11"/>
  <c r="F10" i="11" s="1"/>
  <c r="D9" i="11"/>
  <c r="F9" i="11" s="1"/>
  <c r="D12" i="11"/>
  <c r="F12" i="11" s="1"/>
  <c r="D13" i="11"/>
  <c r="F13" i="11" s="1"/>
  <c r="D15" i="11"/>
  <c r="F15" i="11" s="1"/>
  <c r="K9" i="6"/>
  <c r="H18" i="14"/>
  <c r="J51" i="4"/>
  <c r="J29" i="4"/>
  <c r="J34" i="4" s="1"/>
  <c r="J36" i="4" s="1"/>
  <c r="J45" i="4"/>
  <c r="J35" i="13"/>
  <c r="J36" i="13" s="1"/>
  <c r="H22" i="14" l="1"/>
  <c r="D26" i="14" s="1"/>
  <c r="D27" i="14"/>
  <c r="D28" i="14" s="1"/>
  <c r="D29" i="14" s="1"/>
  <c r="H19" i="14"/>
  <c r="K18" i="5"/>
  <c r="K10" i="12" s="1"/>
  <c r="K41" i="4"/>
  <c r="K16" i="4"/>
  <c r="K14" i="13"/>
  <c r="K15" i="13" s="1"/>
  <c r="K45" i="13"/>
  <c r="D22" i="15"/>
  <c r="E22" i="15"/>
  <c r="K12" i="6"/>
  <c r="D15" i="6"/>
  <c r="D16" i="6" s="1"/>
  <c r="D17" i="6" s="1"/>
  <c r="J57" i="13"/>
  <c r="J40" i="4"/>
  <c r="K35" i="4"/>
  <c r="K55" i="13" s="1"/>
  <c r="J52" i="4"/>
  <c r="J24" i="13"/>
  <c r="J28" i="13" s="1"/>
  <c r="J37" i="13" s="1"/>
  <c r="J11" i="12"/>
  <c r="D30" i="14" l="1"/>
  <c r="D18" i="6"/>
  <c r="K32" i="13"/>
  <c r="K17" i="4"/>
  <c r="J46" i="4"/>
  <c r="J9" i="12" s="1"/>
  <c r="J12" i="12"/>
  <c r="F22" i="15"/>
  <c r="D35" i="14" l="1"/>
  <c r="D37" i="14" s="1"/>
  <c r="D39" i="14"/>
  <c r="D31" i="14"/>
  <c r="D21" i="6"/>
  <c r="D23" i="6" s="1"/>
  <c r="D25" i="6" s="1"/>
  <c r="D15" i="1"/>
  <c r="K16" i="13"/>
  <c r="K17" i="13" s="1"/>
  <c r="K18" i="4"/>
  <c r="K42" i="13" l="1"/>
  <c r="K47" i="13" s="1"/>
  <c r="K49" i="13" s="1"/>
  <c r="K54" i="13" s="1"/>
  <c r="K56" i="13" s="1"/>
  <c r="K27" i="4"/>
  <c r="K44" i="4"/>
  <c r="K51" i="4" l="1"/>
  <c r="K29" i="4"/>
  <c r="K34" i="4" s="1"/>
  <c r="K36" i="4" s="1"/>
  <c r="K45" i="4"/>
  <c r="K35" i="13"/>
  <c r="K36" i="13" s="1"/>
  <c r="K57" i="13" l="1"/>
  <c r="K40" i="4"/>
  <c r="K52" i="4"/>
  <c r="D16" i="1" s="1"/>
  <c r="K11" i="12"/>
  <c r="K24" i="13"/>
  <c r="K28" i="13" s="1"/>
  <c r="K37" i="13" s="1"/>
  <c r="D14" i="1"/>
  <c r="K46" i="4" l="1"/>
  <c r="K9" i="12" s="1"/>
  <c r="K12" i="12"/>
</calcChain>
</file>

<file path=xl/sharedStrings.xml><?xml version="1.0" encoding="utf-8"?>
<sst xmlns="http://schemas.openxmlformats.org/spreadsheetml/2006/main" count="454" uniqueCount="278">
  <si>
    <t>AI Power Infrastructure</t>
  </si>
  <si>
    <t>Electrical Equipment Supplier; USD millions; 6 October 2026</t>
  </si>
  <si>
    <t>Eshan Mukherjee; independent portfolio sample</t>
  </si>
  <si>
    <t>Analysis as of 6 October 2026; USD millions</t>
  </si>
  <si>
    <t>Selected scenario</t>
  </si>
  <si>
    <t>Latest reported / synthetic revenue</t>
  </si>
  <si>
    <t>2031 revenue</t>
  </si>
  <si>
    <t>2031 EBITDA</t>
  </si>
  <si>
    <t>2031 unrestricted cash</t>
  </si>
  <si>
    <t>DCF enterprise value</t>
  </si>
  <si>
    <t>Cash reserve shortfall, worst annual period</t>
  </si>
  <si>
    <t>Analytical conclusion</t>
  </si>
  <si>
    <t>The operating opportunity is attractive, but the market value must be tested against backlog conversion and cash generation. Use the implied-growth grid to assess the price rather than extrapolating exceptional order intake.</t>
  </si>
  <si>
    <t>Basis</t>
  </si>
  <si>
    <t>Actual filer history with analyst forecasts and hypothetical transaction terms.</t>
  </si>
  <si>
    <t>No actual employment achievement, investment or transaction is implied.</t>
  </si>
  <si>
    <t>Year</t>
  </si>
  <si>
    <t>Revenue</t>
  </si>
  <si>
    <t>EBITDA</t>
  </si>
  <si>
    <t>Assumptions</t>
  </si>
  <si>
    <t>Electrical Equipment Supplier; USD millions</t>
  </si>
  <si>
    <t>Scenario index: 1 Base, 2 Upside, 3 Downside</t>
  </si>
  <si>
    <t>Reported actual</t>
  </si>
  <si>
    <t>Estimate</t>
  </si>
  <si>
    <t>Forecast</t>
  </si>
  <si>
    <t>Revenue growth selected</t>
  </si>
  <si>
    <t>Base</t>
  </si>
  <si>
    <t>Upside</t>
  </si>
  <si>
    <t>Downside</t>
  </si>
  <si>
    <t>EBITDA margin selected</t>
  </si>
  <si>
    <t>Capex / revenue selected</t>
  </si>
  <si>
    <t>D&amp;A / revenue selected</t>
  </si>
  <si>
    <t>Stock compensation / revenue selected</t>
  </si>
  <si>
    <t>Receivables / revenue selected</t>
  </si>
  <si>
    <t>Inventory / revenue selected</t>
  </si>
  <si>
    <t>Payables / revenue selected</t>
  </si>
  <si>
    <t>Deferred revenue / revenue selected</t>
  </si>
  <si>
    <t>Cash interest rate selected</t>
  </si>
  <si>
    <t>Cash tax rate selected</t>
  </si>
  <si>
    <t>PIK rate selected</t>
  </si>
  <si>
    <t>Discount rate (analyst assumption)</t>
  </si>
  <si>
    <t>Terminal growth (analyst assumption)</t>
  </si>
  <si>
    <t>Minimum unrestricted cash</t>
  </si>
  <si>
    <t>Forecast assumes no dividends except modeled recap</t>
  </si>
  <si>
    <t>History</t>
  </si>
  <si>
    <t>cost of revenue</t>
  </si>
  <si>
    <t>Gross profit</t>
  </si>
  <si>
    <t>Operating income</t>
  </si>
  <si>
    <t>Net income</t>
  </si>
  <si>
    <t>Cash from operations</t>
  </si>
  <si>
    <t>Capex</t>
  </si>
  <si>
    <t>Depreciation and amortization</t>
  </si>
  <si>
    <t>Stock compensation</t>
  </si>
  <si>
    <t>Interest expense</t>
  </si>
  <si>
    <t>Cash</t>
  </si>
  <si>
    <t>Restricted cash</t>
  </si>
  <si>
    <t>Assets</t>
  </si>
  <si>
    <t>Liabilities</t>
  </si>
  <si>
    <t>Equity</t>
  </si>
  <si>
    <t>Receivables</t>
  </si>
  <si>
    <t>Inventory</t>
  </si>
  <si>
    <t>Payables</t>
  </si>
  <si>
    <t>Deferred revenue</t>
  </si>
  <si>
    <t>Long-term debt</t>
  </si>
  <si>
    <t>Current debt</t>
  </si>
  <si>
    <t>Lease liability</t>
  </si>
  <si>
    <t>Current lease liability</t>
  </si>
  <si>
    <t>Shares</t>
  </si>
  <si>
    <t>Diluted shares</t>
  </si>
  <si>
    <t>Blank historical inputs indicate unavailable tags</t>
  </si>
  <si>
    <t>Original fiscal period end</t>
  </si>
  <si>
    <t>2024-09-30</t>
  </si>
  <si>
    <t>2025-09-30</t>
  </si>
  <si>
    <t>Latest quarterly disclosure reviewed</t>
  </si>
  <si>
    <t>2026-06-30</t>
  </si>
  <si>
    <t>Reported equity includes ordinary noncontrolling equity</t>
  </si>
  <si>
    <t>Revenue growth</t>
  </si>
  <si>
    <t>D&amp;A</t>
  </si>
  <si>
    <t>Cash interest</t>
  </si>
  <si>
    <t>PIK interest</t>
  </si>
  <si>
    <t>Profit before tax</t>
  </si>
  <si>
    <t>Tax</t>
  </si>
  <si>
    <t>Operating working capital</t>
  </si>
  <si>
    <t>Change in working capital</t>
  </si>
  <si>
    <t>Cash flow before financing</t>
  </si>
  <si>
    <t>New debt</t>
  </si>
  <si>
    <t>Debt repayment</t>
  </si>
  <si>
    <t>New equity</t>
  </si>
  <si>
    <t>Recapitalization distributions</t>
  </si>
  <si>
    <t>Net cash movement</t>
  </si>
  <si>
    <t>Opening unrestricted cash</t>
  </si>
  <si>
    <t>Ending unrestricted cash</t>
  </si>
  <si>
    <t>Other assets, including long-term investment</t>
  </si>
  <si>
    <t>Total assets</t>
  </si>
  <si>
    <t>Ending debt</t>
  </si>
  <si>
    <t>Other liabilities</t>
  </si>
  <si>
    <t>Redeemable equity / historical presentation bridge</t>
  </si>
  <si>
    <t>Ordinary equity</t>
  </si>
  <si>
    <t>Total liabilities and equity</t>
  </si>
  <si>
    <t>Balance-sheet difference</t>
  </si>
  <si>
    <t>Unlevered cash flow after economic stock-comp cost</t>
  </si>
  <si>
    <t>Diluted shares / units</t>
  </si>
  <si>
    <t>EBITDA margin</t>
  </si>
  <si>
    <t>Cash conversion</t>
  </si>
  <si>
    <t>Cash reserve surplus / (shortfall)</t>
  </si>
  <si>
    <t>Cash flows add back stock compensation; DCF retains its economic cost</t>
  </si>
  <si>
    <t>Other opening assets and liabilities are reported residuals, held constant</t>
  </si>
  <si>
    <t>New equity is an explicit financing assumption; negative cash is a shortfall</t>
  </si>
  <si>
    <t>Debt and Cash</t>
  </si>
  <si>
    <t>Opening debt</t>
  </si>
  <si>
    <t>New borrowing</t>
  </si>
  <si>
    <t>Cash interest rate</t>
  </si>
  <si>
    <t>PIK interest rate</t>
  </si>
  <si>
    <t>PIK accrued</t>
  </si>
  <si>
    <t>Mandatory repayment</t>
  </si>
  <si>
    <t>Cash sweep</t>
  </si>
  <si>
    <t>Debt roll-forward difference</t>
  </si>
  <si>
    <t>Forecast debt terms are analyst assumptions</t>
  </si>
  <si>
    <t>Historical debt is reported carrying value</t>
  </si>
  <si>
    <t>Valuation</t>
  </si>
  <si>
    <t>Valuation output and forecast periods</t>
  </si>
  <si>
    <t>Output</t>
  </si>
  <si>
    <t>USD millions</t>
  </si>
  <si>
    <t>Unlevered cash flow</t>
  </si>
  <si>
    <t>Discount period</t>
  </si>
  <si>
    <t>Discount factor</t>
  </si>
  <si>
    <t>Present value of cash flow</t>
  </si>
  <si>
    <t>Terminal cash flow</t>
  </si>
  <si>
    <t>Terminal enterprise value</t>
  </si>
  <si>
    <t>Present value of terminal</t>
  </si>
  <si>
    <t>Enterprise value</t>
  </si>
  <si>
    <t>Residual equity value before option value</t>
  </si>
  <si>
    <t>Current diluted shares</t>
  </si>
  <si>
    <t>Modeled equity per share, floored at zero</t>
  </si>
  <si>
    <t>Observed market price, 5 October 2026</t>
  </si>
  <si>
    <t>Price upside / (downside)</t>
  </si>
  <si>
    <t>DCF uses analyst forecasts; tax shield and other claims require diligence</t>
  </si>
  <si>
    <t>Discount rate / terminal growth sensitivity, enterprise value</t>
  </si>
  <si>
    <t>Scenarios</t>
  </si>
  <si>
    <t>Scenario</t>
  </si>
  <si>
    <t>Minimum cash reserve surplus</t>
  </si>
  <si>
    <t>Dated scenario comparison; selector recalculates the full live model</t>
  </si>
  <si>
    <t>Comparison values are saved snapshots; update them after changing underlying assumptions</t>
  </si>
  <si>
    <t>Monitoring</t>
  </si>
  <si>
    <t>Risk</t>
  </si>
  <si>
    <t>Monitoring question / action</t>
  </si>
  <si>
    <t>Large data-center orders create customer and timing concentration.</t>
  </si>
  <si>
    <t>Quarterly: compare bookings, revenue and ending backlog.</t>
  </si>
  <si>
    <t>Capacity expansion can constrain delivery and margins.</t>
  </si>
  <si>
    <t>Track cancellations, progress payments and receivables.</t>
  </si>
  <si>
    <t>Deposits can flatter near-term cash flow.</t>
  </si>
  <si>
    <t>Monitor capacity commissioning and gross-margin normalization.</t>
  </si>
  <si>
    <t>A premium multiple may already price in strong execution.</t>
  </si>
  <si>
    <t>Reassess after a sustained book-to-bill below 1.0x.</t>
  </si>
  <si>
    <t>Reporting window</t>
  </si>
  <si>
    <t>Catalyst</t>
  </si>
  <si>
    <t>Metric</t>
  </si>
  <si>
    <t>Threshold</t>
  </si>
  <si>
    <t>Action</t>
  </si>
  <si>
    <t>Nov 2026</t>
  </si>
  <si>
    <t>Expected earnings window</t>
  </si>
  <si>
    <t>Below 60%</t>
  </si>
  <si>
    <t>Revisit valuation</t>
  </si>
  <si>
    <t>Feb 2027</t>
  </si>
  <si>
    <t>Funded orders</t>
  </si>
  <si>
    <t>Two-quarter decline</t>
  </si>
  <si>
    <t>Reduce growth assumptions</t>
  </si>
  <si>
    <t>May 2027</t>
  </si>
  <si>
    <t>Capacity investment</t>
  </si>
  <si>
    <t>Capex above plan</t>
  </si>
  <si>
    <t>Update liquidity stress</t>
  </si>
  <si>
    <t>Aug 2027</t>
  </si>
  <si>
    <t>Margin realization</t>
  </si>
  <si>
    <t>Below downside case</t>
  </si>
  <si>
    <t>Reassess thesis</t>
  </si>
  <si>
    <t>Expected windows are analyst assumptions, not announced event dates</t>
  </si>
  <si>
    <t>Backlog and Capacity</t>
  </si>
  <si>
    <t>Opening backlog</t>
  </si>
  <si>
    <t>New bookings</t>
  </si>
  <si>
    <t>Backlog conversion</t>
  </si>
  <si>
    <t>Revenue from backlog</t>
  </si>
  <si>
    <t>In-period book and ship</t>
  </si>
  <si>
    <t>Capacity limit</t>
  </si>
  <si>
    <t>Delivered revenue</t>
  </si>
  <si>
    <t>Ending backlog</t>
  </si>
  <si>
    <t>Book-to-bill</t>
  </si>
  <si>
    <t>Backlog roll-forward difference</t>
  </si>
  <si>
    <t>Opening FY2025 backlog: reported USD 1,400 million; conversion is assumed</t>
  </si>
  <si>
    <t>June 2026 reported backlog USD 2,400 million; nine-month bookings USD 1,900 million</t>
  </si>
  <si>
    <t>Peer Benchmarks</t>
  </si>
  <si>
    <t>Business description</t>
  </si>
  <si>
    <t>EBITDA proxy</t>
  </si>
  <si>
    <t>Debt</t>
  </si>
  <si>
    <t>Market cap</t>
  </si>
  <si>
    <t>EV / EBITDA</t>
  </si>
  <si>
    <t>EV / revenue</t>
  </si>
  <si>
    <t>Fiscal period end</t>
  </si>
  <si>
    <t>Diversified electrical supplier</t>
  </si>
  <si>
    <t>Unavailable input</t>
  </si>
  <si>
    <t>2025-12-31</t>
  </si>
  <si>
    <t>Grid equipment supplier</t>
  </si>
  <si>
    <t>Electrical enclosure supplier</t>
  </si>
  <si>
    <t>Peer metrics are USD millions; fiscal ends shown; prices dated 5 October 2026</t>
  </si>
  <si>
    <t>Scale, business mix, fiscal dates and SBC limit comparability</t>
  </si>
  <si>
    <t>Unavailable metrics stay blank; multiples use complete mapped inputs only</t>
  </si>
  <si>
    <t>Expectations</t>
  </si>
  <si>
    <t>Annual revenue growth</t>
  </si>
  <si>
    <t>Implied enterprise value</t>
  </si>
  <si>
    <t>Observed enterprise value</t>
  </si>
  <si>
    <t>Difference</t>
  </si>
  <si>
    <t>Implied-growth grid holds terminal free-cash-flow margin constant</t>
  </si>
  <si>
    <t>Checks</t>
  </si>
  <si>
    <t>Balance sheet difference</t>
  </si>
  <si>
    <t>Cash roll-forward difference</t>
  </si>
  <si>
    <t>Statement cash tie</t>
  </si>
  <si>
    <t>Revenue / cohort tie</t>
  </si>
  <si>
    <t>Discount spread</t>
  </si>
  <si>
    <t>Tolerance for monetary reconciliation</t>
  </si>
  <si>
    <t>Negative cash or covenant headroom is an economic finding, not a formula error</t>
  </si>
  <si>
    <t>Electrical Equipment Supplier; peer metrics in USD millions</t>
  </si>
  <si>
    <t>Peer benchmarks as of 6 October 2026; USD millions</t>
  </si>
  <si>
    <t>Financial statements</t>
  </si>
  <si>
    <t>Electrical Equipment Supplier; USD millions; independent sample, 6 October 2026</t>
  </si>
  <si>
    <t>Income statement</t>
  </si>
  <si>
    <t>Operating profit</t>
  </si>
  <si>
    <t>Pretax profit</t>
  </si>
  <si>
    <t>Tax expense</t>
  </si>
  <si>
    <t>Balance sheet</t>
  </si>
  <si>
    <t>Unrestricted cash</t>
  </si>
  <si>
    <t>Other assets</t>
  </si>
  <si>
    <t>Debt carrying value</t>
  </si>
  <si>
    <t>Redeemable or temporary equity</t>
  </si>
  <si>
    <t>Liabilities and all equity claims</t>
  </si>
  <si>
    <t>Cash flow statement</t>
  </si>
  <si>
    <t>PIK interest added back</t>
  </si>
  <si>
    <t>Increase in operating working capital</t>
  </si>
  <si>
    <t>Capital expenditure</t>
  </si>
  <si>
    <t>Distributions</t>
  </si>
  <si>
    <t>Closing unrestricted cash</t>
  </si>
  <si>
    <t>Cash flow reconciliation</t>
  </si>
  <si>
    <t>Historical profit and cash-flow presentation follows the original statements. Forecast EBITDA includes recurring stock-compensation cost.</t>
  </si>
  <si>
    <t>Opening other assets and liabilities remain the reported residuals. Restricted funds and redeemable equity retain their separate treatment.</t>
  </si>
  <si>
    <t>Discounted cash flow valuation</t>
  </si>
  <si>
    <t>Unlevered cash flow forecast</t>
  </si>
  <si>
    <t>NOPAT</t>
  </si>
  <si>
    <t>Depreciation added back</t>
  </si>
  <si>
    <t>Existing unlevered cash flow</t>
  </si>
  <si>
    <t>Enterprise and equity value</t>
  </si>
  <si>
    <t>Present value of forecast cash flows</t>
  </si>
  <si>
    <t>Present value of terminal value</t>
  </si>
  <si>
    <t>Enterprise-value reconciliation</t>
  </si>
  <si>
    <t>Debt deducted</t>
  </si>
  <si>
    <t>Unrestricted cash added</t>
  </si>
  <si>
    <t>Residual equity value</t>
  </si>
  <si>
    <t>Current valuation share basis</t>
  </si>
  <si>
    <t>Equity value per share</t>
  </si>
  <si>
    <t>Terminal value / enterprise value</t>
  </si>
  <si>
    <t>Discount rate, analyst assumption</t>
  </si>
  <si>
    <t>Terminal growth, analyst assumption</t>
  </si>
  <si>
    <t>Discount periods and valuation bridge retain the original model convention. The selected discount rate is an analyst assumption, not a newly estimated market WACC.</t>
  </si>
  <si>
    <t>Economic stock-compensation cost remains in unlevered cash flow. No unavailable option tranches or consensus estimates are invented.</t>
  </si>
  <si>
    <t>Current share counts, debt and cash follow the existing dated valuation bridge. Annual forecasts remain separate from more recent cash disclosures.</t>
  </si>
  <si>
    <t>Comparable-company valuation</t>
  </si>
  <si>
    <t>Margin</t>
  </si>
  <si>
    <t>Net leverage</t>
  </si>
  <si>
    <t>Fiscal end</t>
  </si>
  <si>
    <t>Low</t>
  </si>
  <si>
    <t>Median</t>
  </si>
  <si>
    <t>High</t>
  </si>
  <si>
    <t>Implied valuation ranges</t>
  </si>
  <si>
    <t>Method</t>
  </si>
  <si>
    <t>Range width</t>
  </si>
  <si>
    <t>DCF sensitivity range</t>
  </si>
  <si>
    <t>Peer revenue multiple range</t>
  </si>
  <si>
    <t>Peer EBITDA multiple range</t>
  </si>
  <si>
    <t>Ranges show USD per share and use the current valuation bridge. Historical peer multiples can differ materially by business mix and growth.</t>
  </si>
  <si>
    <t>Missing or nonpositive denominators remain unavailable. EBITDA proxy follows operating income plus mapped depreciation, not management-adjusted EBITDA.</t>
  </si>
  <si>
    <t>Startup negative EBITDA excludes an EBITDA valuation range. Sector excitement alone does not establish comparable economics.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</si>
</sst>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\(#,##0.0\);&quot;-&quot;"/>
    <numFmt numFmtId="165" formatCode="yyyy"/>
    <numFmt numFmtId="166" formatCode="0.0%;\(0.0%\);&quot;-&quot;"/>
    <numFmt numFmtId="167" formatCode="0.0&quot;x&quot;"/>
  </numFmts>
  <fonts count="23">
    <font>
      <sz val="11"/>
      <name val="Carlito"/>
    </font>
    <font>
      <i/>
      <sz val="10"/>
      <color rgb="FF555555"/>
      <name val="Arial"/>
    </font>
    <font>
      <sz val="10"/>
      <name val="Arial"/>
    </font>
    <font>
      <b/>
      <sz val="15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0000FF"/>
      <name val="Arial"/>
    </font>
    <font>
      <b/>
      <sz val="10"/>
      <name val="Arial"/>
    </font>
    <font>
      <b/>
      <sz val="10"/>
      <color rgb="FF008000"/>
      <name val="Arial"/>
    </font>
    <font>
      <sz val="10"/>
      <color rgb="FF008000"/>
      <name val="Arial"/>
    </font>
    <font>
      <b/>
      <sz val="10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sz val="10"/>
      <color rgb="FF008000"/>
      <name val="Arial"/>
    </font>
    <font>
      <b/>
      <sz val="9"/>
      <color rgb="FF555555"/>
      <name val="Arial"/>
    </font>
    <font>
      <b/>
      <sz val="9"/>
      <color rgb="FF244A73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name val="Arial"/>
    </font>
    <font>
      <b/>
      <sz val="10"/>
      <color rgb="FF008000"/>
      <name val="Arial"/>
    </font>
    <font>
      <b/>
      <sz val="10"/>
      <color rgb="FF000000"/>
      <name val="Arial"/>
    </font>
    <font>
      <sz val="9"/>
      <color rgb="FF555555"/>
      <name val="Arial"/>
    </font>
  </fonts>
  <fills count="6">
    <fill>
      <patternFill patternType="none"/>
    </fill>
    <fill>
      <patternFill patternType="gray125"/>
    </fill>
    <fill>
      <patternFill patternType="solid">
        <fgColor rgb="FF182F44"/>
      </patternFill>
    </fill>
    <fill>
      <patternFill patternType="solid">
        <fgColor rgb="FFFFF2CC"/>
      </patternFill>
    </fill>
    <fill>
      <patternFill patternType="none"/>
    </fill>
    <fill>
      <patternFill patternType="solid">
        <fgColor rgb="FF244A73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C9D1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2" borderId="0" xfId="0" applyFont="1" applyFill="1"/>
    <xf numFmtId="0" fontId="3" fillId="0" borderId="1" xfId="0" applyFont="1" applyBorder="1"/>
    <xf numFmtId="0" fontId="2" fillId="0" borderId="1" xfId="0" applyFont="1" applyBorder="1"/>
    <xf numFmtId="165" fontId="4" fillId="2" borderId="0" xfId="0" applyNumberFormat="1" applyFont="1" applyFill="1"/>
    <xf numFmtId="0" fontId="5" fillId="0" borderId="0" xfId="0" applyFont="1"/>
    <xf numFmtId="0" fontId="2" fillId="3" borderId="0" xfId="0" applyFont="1" applyFill="1"/>
    <xf numFmtId="164" fontId="6" fillId="0" borderId="0" xfId="0" applyNumberFormat="1" applyFont="1"/>
    <xf numFmtId="164" fontId="5" fillId="0" borderId="0" xfId="0" applyNumberFormat="1" applyFont="1"/>
    <xf numFmtId="166" fontId="2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6" fontId="9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11" fillId="4" borderId="2" xfId="0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vertical="center" wrapText="1"/>
    </xf>
    <xf numFmtId="0" fontId="17" fillId="5" borderId="2" xfId="0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/>
    </xf>
    <xf numFmtId="164" fontId="14" fillId="4" borderId="2" xfId="0" applyNumberFormat="1" applyFont="1" applyFill="1" applyBorder="1" applyAlignment="1">
      <alignment vertical="center"/>
    </xf>
    <xf numFmtId="164" fontId="18" fillId="4" borderId="2" xfId="0" applyNumberFormat="1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164" fontId="20" fillId="4" borderId="4" xfId="0" applyNumberFormat="1" applyFont="1" applyFill="1" applyBorder="1" applyAlignment="1">
      <alignment vertical="center"/>
    </xf>
    <xf numFmtId="164" fontId="21" fillId="4" borderId="4" xfId="0" applyNumberFormat="1" applyFont="1" applyFill="1" applyBorder="1" applyAlignment="1">
      <alignment vertical="center"/>
    </xf>
    <xf numFmtId="164" fontId="19" fillId="4" borderId="4" xfId="0" applyNumberFormat="1" applyFont="1" applyFill="1" applyBorder="1" applyAlignment="1">
      <alignment vertical="center"/>
    </xf>
    <xf numFmtId="166" fontId="18" fillId="4" borderId="2" xfId="0" applyNumberFormat="1" applyFont="1" applyFill="1" applyBorder="1" applyAlignment="1">
      <alignment vertical="center"/>
    </xf>
    <xf numFmtId="166" fontId="11" fillId="4" borderId="2" xfId="0" applyNumberFormat="1" applyFont="1" applyFill="1" applyBorder="1" applyAlignment="1">
      <alignment vertical="center"/>
    </xf>
    <xf numFmtId="166" fontId="14" fillId="4" borderId="2" xfId="0" applyNumberFormat="1" applyFont="1" applyFill="1" applyBorder="1" applyAlignment="1">
      <alignment vertical="center"/>
    </xf>
    <xf numFmtId="164" fontId="17" fillId="5" borderId="2" xfId="0" applyNumberFormat="1" applyFont="1" applyFill="1" applyBorder="1" applyAlignment="1">
      <alignment vertical="center" wrapText="1"/>
    </xf>
    <xf numFmtId="167" fontId="14" fillId="4" borderId="2" xfId="0" applyNumberFormat="1" applyFont="1" applyFill="1" applyBorder="1" applyAlignment="1">
      <alignment vertical="center"/>
    </xf>
    <xf numFmtId="167" fontId="18" fillId="4" borderId="2" xfId="0" applyNumberFormat="1" applyFont="1" applyFill="1" applyBorder="1" applyAlignment="1">
      <alignment vertical="center"/>
    </xf>
    <xf numFmtId="167" fontId="11" fillId="4" borderId="2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4" fillId="2" borderId="0" xfId="0" applyFont="1" applyFill="1"/>
    <xf numFmtId="165" fontId="4" fillId="2" borderId="0" xfId="0" applyNumberFormat="1" applyFont="1" applyFill="1"/>
    <xf numFmtId="0" fontId="12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vertical="center" wrapText="1"/>
    </xf>
    <xf numFmtId="164" fontId="11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Revenue and EBITDA, USD millions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Summary!$D$59:$D$63</c:f>
              <c:numCache>
                <c:formatCode>#,##0.0;\(#,##0.0\);"-"</c:formatCode>
                <c:ptCount val="5"/>
                <c:pt idx="0">
                  <c:v>1375.6495851846003</c:v>
                </c:pt>
                <c:pt idx="1">
                  <c:v>1621.3364358651966</c:v>
                </c:pt>
                <c:pt idx="2">
                  <c:v>1980.8649557115941</c:v>
                </c:pt>
                <c:pt idx="3">
                  <c:v>2319.779870275227</c:v>
                </c:pt>
                <c:pt idx="4">
                  <c:v>2696.3148381838132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BA-4E65-9C31-76BD7FC3273E}"/>
            </c:ext>
          </c:extLst>
        </c:ser>
        <c:ser>
          <c:idx val="1"/>
          <c:order val="1"/>
          <c:tx>
            <c:v>EBITDA</c:v>
          </c:tx>
          <c:marker>
            <c:symbol val="none"/>
          </c:marker>
          <c:cat>
            <c:numRef>
              <c:f>Summary!$C$59:$C$63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Summary!$E$59:$E$63</c:f>
              <c:numCache>
                <c:formatCode>#,##0.0;\(#,##0.0\);"-"</c:formatCode>
                <c:ptCount val="5"/>
                <c:pt idx="0">
                  <c:v>309.52115666653509</c:v>
                </c:pt>
                <c:pt idx="1">
                  <c:v>372.90738024899525</c:v>
                </c:pt>
                <c:pt idx="2">
                  <c:v>445.69461503510871</c:v>
                </c:pt>
                <c:pt idx="3">
                  <c:v>498.75267210917383</c:v>
                </c:pt>
                <c:pt idx="4">
                  <c:v>552.7445418276817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BA-4E65-9C31-76BD7FC32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11</xdr:col>
      <xdr:colOff>0</xdr:colOff>
      <xdr:row>54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0BC2B-83A3-4415-9C18-1E46303A2FA2}">
  <dimension ref="C1:K75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0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1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</v>
      </c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4</v>
      </c>
      <c r="D9" s="18" t="str">
        <f>Assumptions!F4</f>
        <v>Base</v>
      </c>
      <c r="E9" s="3"/>
      <c r="F9" s="3"/>
      <c r="G9" s="3"/>
      <c r="H9" s="3"/>
      <c r="I9" s="3"/>
      <c r="J9" s="3"/>
      <c r="K9" s="3"/>
    </row>
    <row r="10" spans="3:11" ht="21" customHeight="1">
      <c r="C10" s="2"/>
      <c r="D10" s="3"/>
      <c r="E10" s="3"/>
      <c r="F10" s="3"/>
      <c r="G10" s="3"/>
      <c r="H10" s="3"/>
      <c r="I10" s="3"/>
      <c r="J10" s="3"/>
      <c r="K10" s="3"/>
    </row>
    <row r="11" spans="3:11" ht="21" customHeight="1">
      <c r="C11" s="2" t="s">
        <v>5</v>
      </c>
      <c r="D11" s="18">
        <f>History!E9</f>
        <v>1104.318</v>
      </c>
      <c r="E11" s="3"/>
      <c r="F11" s="3"/>
      <c r="G11" s="3"/>
      <c r="H11" s="3"/>
      <c r="I11" s="3"/>
      <c r="J11" s="3"/>
      <c r="K11" s="3"/>
    </row>
    <row r="12" spans="3:11" ht="21" customHeight="1">
      <c r="C12" s="2" t="s">
        <v>6</v>
      </c>
      <c r="D12" s="18">
        <f>Forecast!K9</f>
        <v>2696.3148381838132</v>
      </c>
      <c r="E12" s="3"/>
      <c r="F12" s="3"/>
      <c r="G12" s="3"/>
      <c r="H12" s="3"/>
      <c r="I12" s="3"/>
      <c r="J12" s="3"/>
      <c r="K12" s="3"/>
    </row>
    <row r="13" spans="3:11" ht="21" customHeight="1">
      <c r="C13" s="2" t="s">
        <v>7</v>
      </c>
      <c r="D13" s="18">
        <f>Forecast!K11</f>
        <v>552.7445418276817</v>
      </c>
      <c r="E13" s="3"/>
      <c r="F13" s="3"/>
      <c r="G13" s="3"/>
      <c r="H13" s="3"/>
      <c r="I13" s="3"/>
      <c r="J13" s="3"/>
      <c r="K13" s="3"/>
    </row>
    <row r="14" spans="3:11" ht="21" customHeight="1">
      <c r="C14" s="2" t="s">
        <v>8</v>
      </c>
      <c r="D14" s="18">
        <f>Forecast!K36</f>
        <v>2063.9710381525319</v>
      </c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9</v>
      </c>
      <c r="D15" s="18">
        <f>Valuation!D18</f>
        <v>3325.758110221801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10</v>
      </c>
      <c r="D16" s="18">
        <f>MIN(Forecast!F52:K52)</f>
        <v>568.05575408468849</v>
      </c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11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47" t="s">
        <v>12</v>
      </c>
      <c r="D20" s="48"/>
      <c r="E20" s="48"/>
      <c r="F20" s="48"/>
      <c r="G20" s="48"/>
      <c r="H20" s="48"/>
      <c r="I20" s="48"/>
      <c r="J20" s="48"/>
      <c r="K20" s="48"/>
    </row>
    <row r="21" spans="3:11" ht="21" customHeight="1">
      <c r="C21" s="47"/>
      <c r="D21" s="48"/>
      <c r="E21" s="48"/>
      <c r="F21" s="48"/>
      <c r="G21" s="48"/>
      <c r="H21" s="48"/>
      <c r="I21" s="48"/>
      <c r="J21" s="48"/>
      <c r="K21" s="48"/>
    </row>
    <row r="22" spans="3:11" ht="21" customHeight="1">
      <c r="C22" s="47"/>
      <c r="D22" s="48"/>
      <c r="E22" s="48"/>
      <c r="F22" s="48"/>
      <c r="G22" s="48"/>
      <c r="H22" s="48"/>
      <c r="I22" s="48"/>
      <c r="J22" s="48"/>
      <c r="K22" s="48"/>
    </row>
    <row r="23" spans="3:11" ht="21" customHeight="1">
      <c r="C23" s="47"/>
      <c r="D23" s="48"/>
      <c r="E23" s="48"/>
      <c r="F23" s="48"/>
      <c r="G23" s="48"/>
      <c r="H23" s="48"/>
      <c r="I23" s="48"/>
      <c r="J23" s="48"/>
      <c r="K23" s="48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 t="s">
        <v>13</v>
      </c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47" t="s">
        <v>14</v>
      </c>
      <c r="D27" s="48"/>
      <c r="E27" s="48"/>
      <c r="F27" s="48"/>
      <c r="G27" s="48"/>
      <c r="H27" s="48"/>
      <c r="I27" s="48"/>
      <c r="J27" s="48"/>
      <c r="K27" s="48"/>
    </row>
    <row r="28" spans="3:11" ht="21" customHeight="1">
      <c r="C28" s="47"/>
      <c r="D28" s="48"/>
      <c r="E28" s="48"/>
      <c r="F28" s="48"/>
      <c r="G28" s="48"/>
      <c r="H28" s="48"/>
      <c r="I28" s="48"/>
      <c r="J28" s="48"/>
      <c r="K28" s="48"/>
    </row>
    <row r="29" spans="3:11" ht="21" customHeight="1">
      <c r="C29" s="47"/>
      <c r="D29" s="48"/>
      <c r="E29" s="48"/>
      <c r="F29" s="48"/>
      <c r="G29" s="48"/>
      <c r="H29" s="48"/>
      <c r="I29" s="48"/>
      <c r="J29" s="48"/>
      <c r="K29" s="48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47" t="s">
        <v>15</v>
      </c>
      <c r="D32" s="48"/>
      <c r="E32" s="48"/>
      <c r="F32" s="48"/>
      <c r="G32" s="48"/>
      <c r="H32" s="48"/>
      <c r="I32" s="48"/>
      <c r="J32" s="48"/>
      <c r="K32" s="48"/>
    </row>
    <row r="33" spans="3:11" ht="21" customHeight="1">
      <c r="C33" s="47"/>
      <c r="D33" s="48"/>
      <c r="E33" s="48"/>
      <c r="F33" s="48"/>
      <c r="G33" s="48"/>
      <c r="H33" s="48"/>
      <c r="I33" s="48"/>
      <c r="J33" s="48"/>
      <c r="K33" s="48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 t="s">
        <v>16</v>
      </c>
      <c r="D58" s="3" t="s">
        <v>17</v>
      </c>
      <c r="E58" s="3" t="s">
        <v>18</v>
      </c>
      <c r="F58" s="3"/>
      <c r="G58" s="3"/>
      <c r="H58" s="3"/>
      <c r="I58" s="3"/>
      <c r="J58" s="3"/>
      <c r="K58" s="3"/>
    </row>
    <row r="59" spans="3:11" ht="21" customHeight="1">
      <c r="C59" s="2">
        <v>2027</v>
      </c>
      <c r="D59" s="18">
        <f>Forecast!G9</f>
        <v>1375.6495851846003</v>
      </c>
      <c r="E59" s="18">
        <f>Forecast!G11</f>
        <v>309.52115666653509</v>
      </c>
      <c r="F59" s="3"/>
      <c r="G59" s="3"/>
      <c r="H59" s="3"/>
      <c r="I59" s="3"/>
      <c r="J59" s="3"/>
      <c r="K59" s="3"/>
    </row>
    <row r="60" spans="3:11" ht="21" customHeight="1">
      <c r="C60" s="2">
        <v>2028</v>
      </c>
      <c r="D60" s="18">
        <f>Forecast!H9</f>
        <v>1621.3364358651966</v>
      </c>
      <c r="E60" s="18">
        <f>Forecast!H11</f>
        <v>372.90738024899525</v>
      </c>
      <c r="F60" s="3"/>
      <c r="G60" s="3"/>
      <c r="H60" s="3"/>
      <c r="I60" s="3"/>
      <c r="J60" s="3"/>
      <c r="K60" s="3"/>
    </row>
    <row r="61" spans="3:11" ht="21" customHeight="1">
      <c r="C61" s="2">
        <v>2029</v>
      </c>
      <c r="D61" s="18">
        <f>Forecast!I9</f>
        <v>1980.8649557115941</v>
      </c>
      <c r="E61" s="18">
        <f>Forecast!I11</f>
        <v>445.69461503510871</v>
      </c>
      <c r="F61" s="3"/>
      <c r="G61" s="3"/>
      <c r="H61" s="3"/>
      <c r="I61" s="3"/>
      <c r="J61" s="3"/>
      <c r="K61" s="3"/>
    </row>
    <row r="62" spans="3:11" ht="21" customHeight="1">
      <c r="C62" s="2">
        <v>2030</v>
      </c>
      <c r="D62" s="18">
        <f>Forecast!J9</f>
        <v>2319.779870275227</v>
      </c>
      <c r="E62" s="18">
        <f>Forecast!J11</f>
        <v>498.75267210917383</v>
      </c>
      <c r="F62" s="3"/>
      <c r="G62" s="3"/>
      <c r="H62" s="3"/>
      <c r="I62" s="3"/>
      <c r="J62" s="3"/>
      <c r="K62" s="3"/>
    </row>
    <row r="63" spans="3:11" ht="21" customHeight="1">
      <c r="C63" s="2">
        <v>2031</v>
      </c>
      <c r="D63" s="18">
        <f>Forecast!K9</f>
        <v>2696.3148381838132</v>
      </c>
      <c r="E63" s="18">
        <f>Forecast!K11</f>
        <v>552.7445418276817</v>
      </c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4">
    <mergeCell ref="C20:K23"/>
    <mergeCell ref="C27:K29"/>
    <mergeCell ref="C32:K33"/>
    <mergeCell ref="C6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B8C1-7307-49D1-BE62-D3182AF6E63C}">
  <sheetPr>
    <pageSetUpPr fitToPage="1"/>
  </sheetPr>
  <dimension ref="C2:K64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51" t="s">
        <v>221</v>
      </c>
      <c r="D2" s="52"/>
      <c r="E2" s="52"/>
      <c r="F2" s="52"/>
      <c r="G2" s="52"/>
      <c r="H2" s="52"/>
      <c r="I2" s="52"/>
      <c r="J2" s="52"/>
      <c r="K2" s="52"/>
    </row>
    <row r="3" spans="3:11" ht="24" customHeight="1">
      <c r="C3" s="53" t="s">
        <v>222</v>
      </c>
      <c r="D3" s="54"/>
      <c r="E3" s="54"/>
      <c r="F3" s="54"/>
      <c r="G3" s="54"/>
      <c r="H3" s="54"/>
      <c r="I3" s="54"/>
      <c r="J3" s="54"/>
      <c r="K3" s="54"/>
    </row>
    <row r="4" spans="3:11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  <c r="J4" s="26"/>
      <c r="K4" s="26"/>
    </row>
    <row r="5" spans="3:11" ht="8" customHeight="1">
      <c r="C5" s="26"/>
      <c r="D5" s="26"/>
      <c r="E5" s="26"/>
      <c r="F5" s="26"/>
      <c r="G5" s="26"/>
      <c r="H5" s="26"/>
      <c r="I5" s="26"/>
      <c r="J5" s="26"/>
      <c r="K5" s="26"/>
    </row>
    <row r="6" spans="3:11" ht="14" customHeight="1">
      <c r="C6" s="26"/>
      <c r="D6" s="29">
        <f>Forecast!D6</f>
        <v>45657</v>
      </c>
      <c r="E6" s="29">
        <f>Forecast!E6</f>
        <v>46022</v>
      </c>
      <c r="F6" s="29">
        <f>Forecast!F6</f>
        <v>46387</v>
      </c>
      <c r="G6" s="29">
        <f>Forecast!G6</f>
        <v>46752</v>
      </c>
      <c r="H6" s="29">
        <f>Forecast!H6</f>
        <v>47118</v>
      </c>
      <c r="I6" s="29">
        <f>Forecast!I6</f>
        <v>47483</v>
      </c>
      <c r="J6" s="29">
        <f>Forecast!J6</f>
        <v>47848</v>
      </c>
      <c r="K6" s="29">
        <f>Forecast!K6</f>
        <v>48213</v>
      </c>
    </row>
    <row r="7" spans="3:11" ht="14" customHeight="1">
      <c r="C7" s="26"/>
      <c r="D7" s="30" t="str">
        <f>Forecast!D7</f>
        <v>Reported actual</v>
      </c>
      <c r="E7" s="30" t="str">
        <f>Forecast!E7</f>
        <v>Reported actual</v>
      </c>
      <c r="F7" s="31" t="str">
        <f>Forecast!F7</f>
        <v>Estimate</v>
      </c>
      <c r="G7" s="31" t="str">
        <f>Forecast!G7</f>
        <v>Forecast</v>
      </c>
      <c r="H7" s="31" t="str">
        <f>Forecast!H7</f>
        <v>Forecast</v>
      </c>
      <c r="I7" s="31" t="str">
        <f>Forecast!I7</f>
        <v>Forecast</v>
      </c>
      <c r="J7" s="31" t="str">
        <f>Forecast!J7</f>
        <v>Forecast</v>
      </c>
      <c r="K7" s="31" t="str">
        <f>Forecast!K7</f>
        <v>Forecast</v>
      </c>
    </row>
    <row r="8" spans="3:11" ht="16" customHeight="1">
      <c r="C8" s="32" t="s">
        <v>223</v>
      </c>
      <c r="D8" s="33"/>
      <c r="E8" s="33"/>
      <c r="F8" s="33"/>
      <c r="G8" s="33"/>
      <c r="H8" s="33"/>
      <c r="I8" s="33"/>
      <c r="J8" s="33"/>
      <c r="K8" s="33"/>
    </row>
    <row r="9" spans="3:11" ht="14" customHeight="1">
      <c r="C9" s="36" t="s">
        <v>17</v>
      </c>
      <c r="D9" s="37">
        <f>IF(ISNUMBER(Forecast!D9),Forecast!D9,"Unavailable")</f>
        <v>1012.356</v>
      </c>
      <c r="E9" s="37">
        <f>IF(ISNUMBER(Forecast!E9),Forecast!E9,"Unavailable")</f>
        <v>1104.318</v>
      </c>
      <c r="F9" s="37">
        <f>IF(ISNUMBER(Forecast!F9),Forecast!F9,"Unavailable")</f>
        <v>1019.2666589600001</v>
      </c>
      <c r="G9" s="37">
        <f>IF(ISNUMBER(Forecast!G9),Forecast!G9,"Unavailable")</f>
        <v>1375.6495851846003</v>
      </c>
      <c r="H9" s="37">
        <f>IF(ISNUMBER(Forecast!H9),Forecast!H9,"Unavailable")</f>
        <v>1621.3364358651966</v>
      </c>
      <c r="I9" s="37">
        <f>IF(ISNUMBER(Forecast!I9),Forecast!I9,"Unavailable")</f>
        <v>1980.8649557115941</v>
      </c>
      <c r="J9" s="37">
        <f>IF(ISNUMBER(Forecast!J9),Forecast!J9,"Unavailable")</f>
        <v>2319.779870275227</v>
      </c>
      <c r="K9" s="37">
        <f>IF(ISNUMBER(Forecast!K9),Forecast!K9,"Unavailable")</f>
        <v>2696.3148381838132</v>
      </c>
    </row>
    <row r="10" spans="3:11" ht="14" customHeight="1">
      <c r="C10" s="36" t="s">
        <v>18</v>
      </c>
      <c r="D10" s="37">
        <f>IF(ISNUMBER(Forecast!D11),Forecast!D11,"Unavailable")</f>
        <v>185.64400000000001</v>
      </c>
      <c r="E10" s="37">
        <f>IF(ISNUMBER(Forecast!E11),Forecast!E11,"Unavailable")</f>
        <v>225.125</v>
      </c>
      <c r="F10" s="37">
        <f>IF(ISNUMBER(Forecast!F11),Forecast!F11,"Unavailable")</f>
        <v>224.23866497120002</v>
      </c>
      <c r="G10" s="37">
        <f>IF(ISNUMBER(Forecast!G11),Forecast!G11,"Unavailable")</f>
        <v>309.52115666653509</v>
      </c>
      <c r="H10" s="37">
        <f>IF(ISNUMBER(Forecast!H11),Forecast!H11,"Unavailable")</f>
        <v>372.90738024899525</v>
      </c>
      <c r="I10" s="37">
        <f>IF(ISNUMBER(Forecast!I11),Forecast!I11,"Unavailable")</f>
        <v>445.69461503510871</v>
      </c>
      <c r="J10" s="37">
        <f>IF(ISNUMBER(Forecast!J11),Forecast!J11,"Unavailable")</f>
        <v>498.75267210917383</v>
      </c>
      <c r="K10" s="37">
        <f>IF(ISNUMBER(Forecast!K11),Forecast!K11,"Unavailable")</f>
        <v>552.7445418276817</v>
      </c>
    </row>
    <row r="11" spans="3:11" ht="14" customHeight="1">
      <c r="C11" s="26" t="s">
        <v>51</v>
      </c>
      <c r="D11" s="34">
        <f>IF(ISNUMBER(Forecast!D12),Forecast!D12,"Unavailable")</f>
        <v>6.8710000000000004</v>
      </c>
      <c r="E11" s="34">
        <f>IF(ISNUMBER(Forecast!E12),Forecast!E12,"Unavailable")</f>
        <v>7.2649999999999997</v>
      </c>
      <c r="F11" s="34">
        <f>IF(ISNUMBER(Forecast!F12),Forecast!F12,"Unavailable")</f>
        <v>14.269733225440001</v>
      </c>
      <c r="G11" s="34">
        <f>IF(ISNUMBER(Forecast!G12),Forecast!G12,"Unavailable")</f>
        <v>19.259094192584403</v>
      </c>
      <c r="H11" s="34">
        <f>IF(ISNUMBER(Forecast!H12),Forecast!H12,"Unavailable")</f>
        <v>22.698710102112752</v>
      </c>
      <c r="I11" s="34">
        <f>IF(ISNUMBER(Forecast!I12),Forecast!I12,"Unavailable")</f>
        <v>27.732109379962317</v>
      </c>
      <c r="J11" s="34">
        <f>IF(ISNUMBER(Forecast!J12),Forecast!J12,"Unavailable")</f>
        <v>32.476918183853179</v>
      </c>
      <c r="K11" s="34">
        <f>IF(ISNUMBER(Forecast!K12),Forecast!K12,"Unavailable")</f>
        <v>37.748407734573384</v>
      </c>
    </row>
    <row r="12" spans="3:11" ht="14" customHeight="1">
      <c r="C12" s="36" t="s">
        <v>224</v>
      </c>
      <c r="D12" s="37">
        <f>IF(ISNUMBER(Forecast!D13),Forecast!D13,"Unavailable")</f>
        <v>178.773</v>
      </c>
      <c r="E12" s="37">
        <f>IF(ISNUMBER(Forecast!E13),Forecast!E13,"Unavailable")</f>
        <v>217.86</v>
      </c>
      <c r="F12" s="38">
        <f t="shared" ref="F12:K12" si="0">F10-F11</f>
        <v>209.96893174576002</v>
      </c>
      <c r="G12" s="38">
        <f t="shared" si="0"/>
        <v>290.26206247395066</v>
      </c>
      <c r="H12" s="38">
        <f t="shared" si="0"/>
        <v>350.20867014688253</v>
      </c>
      <c r="I12" s="38">
        <f t="shared" si="0"/>
        <v>417.9625056551464</v>
      </c>
      <c r="J12" s="38">
        <f t="shared" si="0"/>
        <v>466.27575392532066</v>
      </c>
      <c r="K12" s="38">
        <f t="shared" si="0"/>
        <v>514.99613409310837</v>
      </c>
    </row>
    <row r="13" spans="3:11" ht="14" customHeight="1">
      <c r="C13" s="26" t="s">
        <v>78</v>
      </c>
      <c r="D13" s="27"/>
      <c r="E13" s="27"/>
      <c r="F13" s="34">
        <f>IF(ISNUMBER(Forecast!F14),Forecast!F14,"Unavailable")</f>
        <v>0</v>
      </c>
      <c r="G13" s="34">
        <f>IF(ISNUMBER(Forecast!G14),Forecast!G14,"Unavailable")</f>
        <v>0</v>
      </c>
      <c r="H13" s="34">
        <f>IF(ISNUMBER(Forecast!H14),Forecast!H14,"Unavailable")</f>
        <v>0</v>
      </c>
      <c r="I13" s="34">
        <f>IF(ISNUMBER(Forecast!I14),Forecast!I14,"Unavailable")</f>
        <v>0</v>
      </c>
      <c r="J13" s="34">
        <f>IF(ISNUMBER(Forecast!J14),Forecast!J14,"Unavailable")</f>
        <v>0</v>
      </c>
      <c r="K13" s="34">
        <f>IF(ISNUMBER(Forecast!K14),Forecast!K14,"Unavailable")</f>
        <v>0</v>
      </c>
    </row>
    <row r="14" spans="3:11" ht="14" customHeight="1">
      <c r="C14" s="26" t="s">
        <v>79</v>
      </c>
      <c r="D14" s="27"/>
      <c r="E14" s="27"/>
      <c r="F14" s="34">
        <f>IF(ISNUMBER(Forecast!F15),Forecast!F15,"Unavailable")</f>
        <v>0</v>
      </c>
      <c r="G14" s="34">
        <f>IF(ISNUMBER(Forecast!G15),Forecast!G15,"Unavailable")</f>
        <v>0</v>
      </c>
      <c r="H14" s="34">
        <f>IF(ISNUMBER(Forecast!H15),Forecast!H15,"Unavailable")</f>
        <v>0</v>
      </c>
      <c r="I14" s="34">
        <f>IF(ISNUMBER(Forecast!I15),Forecast!I15,"Unavailable")</f>
        <v>0</v>
      </c>
      <c r="J14" s="34">
        <f>IF(ISNUMBER(Forecast!J15),Forecast!J15,"Unavailable")</f>
        <v>0</v>
      </c>
      <c r="K14" s="34">
        <f>IF(ISNUMBER(Forecast!K15),Forecast!K15,"Unavailable")</f>
        <v>0</v>
      </c>
    </row>
    <row r="15" spans="3:11" ht="14" customHeight="1">
      <c r="C15" s="26" t="s">
        <v>225</v>
      </c>
      <c r="D15" s="27"/>
      <c r="E15" s="27"/>
      <c r="F15" s="35">
        <f t="shared" ref="F15:K15" si="1">F12-SUM(F13:F14)</f>
        <v>209.96893174576002</v>
      </c>
      <c r="G15" s="35">
        <f t="shared" si="1"/>
        <v>290.26206247395066</v>
      </c>
      <c r="H15" s="35">
        <f t="shared" si="1"/>
        <v>350.20867014688253</v>
      </c>
      <c r="I15" s="35">
        <f t="shared" si="1"/>
        <v>417.9625056551464</v>
      </c>
      <c r="J15" s="35">
        <f t="shared" si="1"/>
        <v>466.27575392532066</v>
      </c>
      <c r="K15" s="35">
        <f t="shared" si="1"/>
        <v>514.99613409310837</v>
      </c>
    </row>
    <row r="16" spans="3:11" ht="14" customHeight="1">
      <c r="C16" s="26" t="s">
        <v>226</v>
      </c>
      <c r="D16" s="27"/>
      <c r="E16" s="27"/>
      <c r="F16" s="34">
        <f>IF(ISNUMBER(Forecast!F17),Forecast!F17,"Unavailable")</f>
        <v>52.492232936440004</v>
      </c>
      <c r="G16" s="34">
        <f>IF(ISNUMBER(Forecast!G17),Forecast!G17,"Unavailable")</f>
        <v>72.565515618487666</v>
      </c>
      <c r="H16" s="34">
        <f>IF(ISNUMBER(Forecast!H17),Forecast!H17,"Unavailable")</f>
        <v>87.552167536720631</v>
      </c>
      <c r="I16" s="34">
        <f>IF(ISNUMBER(Forecast!I17),Forecast!I17,"Unavailable")</f>
        <v>104.4906264137866</v>
      </c>
      <c r="J16" s="34">
        <f>IF(ISNUMBER(Forecast!J17),Forecast!J17,"Unavailable")</f>
        <v>116.56893848133016</v>
      </c>
      <c r="K16" s="34">
        <f>IF(ISNUMBER(Forecast!K17),Forecast!K17,"Unavailable")</f>
        <v>128.74903352327709</v>
      </c>
    </row>
    <row r="17" spans="3:11" ht="14" customHeight="1">
      <c r="C17" s="36" t="s">
        <v>48</v>
      </c>
      <c r="D17" s="37">
        <f>IF(ISNUMBER(Forecast!D18),Forecast!D18,"Unavailable")</f>
        <v>149.84800000000001</v>
      </c>
      <c r="E17" s="37">
        <f>IF(ISNUMBER(Forecast!E18),Forecast!E18,"Unavailable")</f>
        <v>180.74700000000001</v>
      </c>
      <c r="F17" s="38">
        <f t="shared" ref="F17:K17" si="2">F15-F16</f>
        <v>157.47669880932</v>
      </c>
      <c r="G17" s="38">
        <f t="shared" si="2"/>
        <v>217.696546855463</v>
      </c>
      <c r="H17" s="38">
        <f t="shared" si="2"/>
        <v>262.65650261016191</v>
      </c>
      <c r="I17" s="38">
        <f t="shared" si="2"/>
        <v>313.47187924135983</v>
      </c>
      <c r="J17" s="38">
        <f t="shared" si="2"/>
        <v>349.70681544399048</v>
      </c>
      <c r="K17" s="38">
        <f t="shared" si="2"/>
        <v>386.24710056983128</v>
      </c>
    </row>
    <row r="18" spans="3:11" ht="8" customHeight="1">
      <c r="C18" s="26"/>
      <c r="D18" s="27"/>
      <c r="E18" s="27"/>
      <c r="F18" s="27"/>
      <c r="G18" s="27"/>
      <c r="H18" s="27"/>
      <c r="I18" s="27"/>
      <c r="J18" s="27"/>
      <c r="K18" s="27"/>
    </row>
    <row r="19" spans="3:11" ht="8" customHeight="1">
      <c r="C19" s="26"/>
      <c r="D19" s="27"/>
      <c r="E19" s="27"/>
      <c r="F19" s="27"/>
      <c r="G19" s="27"/>
      <c r="H19" s="27"/>
      <c r="I19" s="27"/>
      <c r="J19" s="27"/>
      <c r="K19" s="27"/>
    </row>
    <row r="20" spans="3:11" ht="8" customHeight="1">
      <c r="C20" s="26"/>
      <c r="D20" s="27"/>
      <c r="E20" s="27"/>
      <c r="F20" s="27"/>
      <c r="G20" s="27"/>
      <c r="H20" s="27"/>
      <c r="I20" s="27"/>
      <c r="J20" s="27"/>
      <c r="K20" s="27"/>
    </row>
    <row r="21" spans="3:11" ht="8" customHeight="1">
      <c r="C21" s="26"/>
      <c r="D21" s="27"/>
      <c r="E21" s="27"/>
      <c r="F21" s="27"/>
      <c r="G21" s="27"/>
      <c r="H21" s="27"/>
      <c r="I21" s="27"/>
      <c r="J21" s="27"/>
      <c r="K21" s="27"/>
    </row>
    <row r="22" spans="3:11" ht="16" customHeight="1">
      <c r="C22" s="32" t="s">
        <v>227</v>
      </c>
      <c r="D22" s="33"/>
      <c r="E22" s="33"/>
      <c r="F22" s="33"/>
      <c r="G22" s="33"/>
      <c r="H22" s="33"/>
      <c r="I22" s="33"/>
      <c r="J22" s="33"/>
      <c r="K22" s="33"/>
    </row>
    <row r="23" spans="3:11" ht="8" customHeight="1">
      <c r="C23" s="26"/>
      <c r="D23" s="27"/>
      <c r="E23" s="27"/>
      <c r="F23" s="27"/>
      <c r="G23" s="27"/>
      <c r="H23" s="27"/>
      <c r="I23" s="27"/>
      <c r="J23" s="27"/>
      <c r="K23" s="27"/>
    </row>
    <row r="24" spans="3:11" ht="14" customHeight="1">
      <c r="C24" s="26" t="s">
        <v>228</v>
      </c>
      <c r="D24" s="34">
        <f>IF(ISNUMBER(Forecast!D36),Forecast!D36,"Unavailable")</f>
        <v>315.33100000000002</v>
      </c>
      <c r="E24" s="34">
        <f>IF(ISNUMBER(Forecast!E36),Forecast!E36,"Unavailable")</f>
        <v>450.73899999999998</v>
      </c>
      <c r="F24" s="34">
        <f>IF(ISNUMBER(Forecast!F36),Forecast!F36,"Unavailable")</f>
        <v>588.05575408468849</v>
      </c>
      <c r="G24" s="34">
        <f>IF(ISNUMBER(Forecast!G36),Forecast!G36,"Unavailable")</f>
        <v>805.52783587655256</v>
      </c>
      <c r="H24" s="34">
        <f>IF(ISNUMBER(Forecast!H36),Forecast!H36,"Unavailable")</f>
        <v>1057.9349354330357</v>
      </c>
      <c r="I24" s="34">
        <f>IF(ISNUMBER(Forecast!I36),Forecast!I36,"Unavailable")</f>
        <v>1362.2842692167128</v>
      </c>
      <c r="J24" s="34">
        <f>IF(ISNUMBER(Forecast!J36),Forecast!J36,"Unavailable")</f>
        <v>1696.6042610916209</v>
      </c>
      <c r="K24" s="34">
        <f>IF(ISNUMBER(Forecast!K36),Forecast!K36,"Unavailable")</f>
        <v>2063.9710381525319</v>
      </c>
    </row>
    <row r="25" spans="3:11" ht="14" customHeight="1">
      <c r="C25" s="26" t="s">
        <v>59</v>
      </c>
      <c r="D25" s="34">
        <f>IF(ISNUMBER(Forecast!D21),Forecast!D21,"Unavailable")</f>
        <v>214.405</v>
      </c>
      <c r="E25" s="34">
        <f>IF(ISNUMBER(Forecast!E21),Forecast!E21,"Unavailable")</f>
        <v>217.065</v>
      </c>
      <c r="F25" s="34">
        <f>IF(ISNUMBER(Forecast!F21),Forecast!F21,"Unavailable")</f>
        <v>200.34728884900218</v>
      </c>
      <c r="G25" s="34">
        <f>IF(ISNUMBER(Forecast!G21),Forecast!G21,"Unavailable")</f>
        <v>270.39799877217905</v>
      </c>
      <c r="H25" s="34">
        <f>IF(ISNUMBER(Forecast!H21),Forecast!H21,"Unavailable")</f>
        <v>318.69026263366067</v>
      </c>
      <c r="I25" s="34">
        <f>IF(ISNUMBER(Forecast!I21),Forecast!I21,"Unavailable")</f>
        <v>389.35927116241623</v>
      </c>
      <c r="J25" s="34">
        <f>IF(ISNUMBER(Forecast!J21),Forecast!J21,"Unavailable")</f>
        <v>455.97646469702761</v>
      </c>
      <c r="K25" s="34">
        <f>IF(ISNUMBER(Forecast!K21),Forecast!K21,"Unavailable")</f>
        <v>529.98826456724362</v>
      </c>
    </row>
    <row r="26" spans="3:11" ht="14" customHeight="1">
      <c r="C26" s="26" t="s">
        <v>60</v>
      </c>
      <c r="D26" s="34">
        <f>IF(ISNUMBER(Forecast!D22),Forecast!D22,"Unavailable")</f>
        <v>85.873000000000005</v>
      </c>
      <c r="E26" s="34">
        <f>IF(ISNUMBER(Forecast!E22),Forecast!E22,"Unavailable")</f>
        <v>84.718999999999994</v>
      </c>
      <c r="F26" s="34">
        <f>IF(ISNUMBER(Forecast!F22),Forecast!F22,"Unavailable")</f>
        <v>78.194190514355682</v>
      </c>
      <c r="G26" s="34">
        <f>IF(ISNUMBER(Forecast!G22),Forecast!G22,"Unavailable")</f>
        <v>105.53450836376309</v>
      </c>
      <c r="H26" s="34">
        <f>IF(ISNUMBER(Forecast!H22),Forecast!H22,"Unavailable")</f>
        <v>124.3826520169585</v>
      </c>
      <c r="I26" s="34">
        <f>IF(ISNUMBER(Forecast!I22),Forecast!I22,"Unavailable")</f>
        <v>151.96428762632732</v>
      </c>
      <c r="J26" s="34">
        <f>IF(ISNUMBER(Forecast!J22),Forecast!J22,"Unavailable")</f>
        <v>177.96452727370826</v>
      </c>
      <c r="K26" s="34">
        <f>IF(ISNUMBER(Forecast!K22),Forecast!K22,"Unavailable")</f>
        <v>206.85083171341446</v>
      </c>
    </row>
    <row r="27" spans="3:11" ht="14" customHeight="1">
      <c r="C27" s="26" t="s">
        <v>229</v>
      </c>
      <c r="D27" s="34">
        <f>IF(ISNUMBER(Forecast!D39),Forecast!D39,"Unavailable")</f>
        <v>312.57099999999991</v>
      </c>
      <c r="E27" s="34">
        <f>IF(ISNUMBER(Forecast!E39),Forecast!E39,"Unavailable")</f>
        <v>356.4609999999999</v>
      </c>
      <c r="F27" s="34">
        <f>IF(ISNUMBER(Forecast!F39),Forecast!F39,"Unavailable")</f>
        <v>377.86559983815988</v>
      </c>
      <c r="G27" s="34">
        <f>IF(ISNUMBER(Forecast!G39),Forecast!G39,"Unavailable")</f>
        <v>406.75424112703644</v>
      </c>
      <c r="H27" s="34">
        <f>IF(ISNUMBER(Forecast!H39),Forecast!H39,"Unavailable")</f>
        <v>440.80230628020558</v>
      </c>
      <c r="I27" s="34">
        <f>IF(ISNUMBER(Forecast!I39),Forecast!I39,"Unavailable")</f>
        <v>482.40047035014908</v>
      </c>
      <c r="J27" s="34">
        <f>IF(ISNUMBER(Forecast!J39),Forecast!J39,"Unavailable")</f>
        <v>531.11584762592884</v>
      </c>
      <c r="K27" s="34">
        <f>IF(ISNUMBER(Forecast!K39),Forecast!K39,"Unavailable")</f>
        <v>587.73845922778901</v>
      </c>
    </row>
    <row r="28" spans="3:11" ht="14" customHeight="1">
      <c r="C28" s="36" t="s">
        <v>93</v>
      </c>
      <c r="D28" s="38">
        <f t="shared" ref="D28:K28" si="3">SUM(D24:D27)</f>
        <v>928.18</v>
      </c>
      <c r="E28" s="38">
        <f t="shared" si="3"/>
        <v>1108.9839999999999</v>
      </c>
      <c r="F28" s="38">
        <f t="shared" si="3"/>
        <v>1244.4628332862062</v>
      </c>
      <c r="G28" s="38">
        <f t="shared" si="3"/>
        <v>1588.2145841395311</v>
      </c>
      <c r="H28" s="38">
        <f t="shared" si="3"/>
        <v>1941.8101563638604</v>
      </c>
      <c r="I28" s="38">
        <f t="shared" si="3"/>
        <v>2386.0082983556053</v>
      </c>
      <c r="J28" s="38">
        <f t="shared" si="3"/>
        <v>2861.6611006882858</v>
      </c>
      <c r="K28" s="38">
        <f t="shared" si="3"/>
        <v>3388.5485936609793</v>
      </c>
    </row>
    <row r="29" spans="3:11" ht="8" customHeight="1">
      <c r="C29" s="26"/>
      <c r="D29" s="27"/>
      <c r="E29" s="27"/>
      <c r="F29" s="27"/>
      <c r="G29" s="27"/>
      <c r="H29" s="27"/>
      <c r="I29" s="27"/>
      <c r="J29" s="27"/>
      <c r="K29" s="27"/>
    </row>
    <row r="30" spans="3:11" ht="14" customHeight="1">
      <c r="C30" s="26" t="s">
        <v>61</v>
      </c>
      <c r="D30" s="34">
        <f>IF(ISNUMBER(Forecast!D23),Forecast!D23,"Unavailable")</f>
        <v>73.632999999999996</v>
      </c>
      <c r="E30" s="34">
        <f>IF(ISNUMBER(Forecast!E23),Forecast!E23,"Unavailable")</f>
        <v>67.08</v>
      </c>
      <c r="F30" s="34">
        <f>IF(ISNUMBER(Forecast!F23),Forecast!F23,"Unavailable")</f>
        <v>61.913694681275508</v>
      </c>
      <c r="G30" s="34">
        <f>IF(ISNUMBER(Forecast!G23),Forecast!G23,"Unavailable")</f>
        <v>83.56159564018968</v>
      </c>
      <c r="H30" s="34">
        <f>IF(ISNUMBER(Forecast!H23),Forecast!H23,"Unavailable")</f>
        <v>98.48544361120382</v>
      </c>
      <c r="I30" s="34">
        <f>IF(ISNUMBER(Forecast!I23),Forecast!I23,"Unavailable")</f>
        <v>120.32441853626739</v>
      </c>
      <c r="J30" s="34">
        <f>IF(ISNUMBER(Forecast!J23),Forecast!J23,"Unavailable")</f>
        <v>140.91125355021128</v>
      </c>
      <c r="K30" s="34">
        <f>IF(ISNUMBER(Forecast!K23),Forecast!K23,"Unavailable")</f>
        <v>163.78325749047846</v>
      </c>
    </row>
    <row r="31" spans="3:11" ht="14" customHeight="1">
      <c r="C31" s="26" t="s">
        <v>62</v>
      </c>
      <c r="D31" s="34">
        <f>IF(ISNUMBER(Forecast!D24),Forecast!D24,"Unavailable")</f>
        <v>287.76299999999998</v>
      </c>
      <c r="E31" s="34">
        <f>IF(ISNUMBER(Forecast!E24),Forecast!E24,"Unavailable")</f>
        <v>297.94900000000001</v>
      </c>
      <c r="F31" s="34">
        <f>IF(ISNUMBER(Forecast!F24),Forecast!F24,"Unavailable")</f>
        <v>275.00183984185088</v>
      </c>
      <c r="G31" s="34">
        <f>IF(ISNUMBER(Forecast!G24),Forecast!G24,"Unavailable")</f>
        <v>371.1552453696911</v>
      </c>
      <c r="H31" s="34">
        <f>IF(ISNUMBER(Forecast!H24),Forecast!H24,"Unavailable")</f>
        <v>437.44244839765315</v>
      </c>
      <c r="I31" s="34">
        <f>IF(ISNUMBER(Forecast!I24),Forecast!I24,"Unavailable")</f>
        <v>534.4445464887051</v>
      </c>
      <c r="J31" s="34">
        <f>IF(ISNUMBER(Forecast!J24),Forecast!J24,"Unavailable")</f>
        <v>625.88501914179949</v>
      </c>
      <c r="K31" s="34">
        <f>IF(ISNUMBER(Forecast!K24),Forecast!K24,"Unavailable")</f>
        <v>727.47551857529174</v>
      </c>
    </row>
    <row r="32" spans="3:11" ht="14" customHeight="1">
      <c r="C32" s="26" t="s">
        <v>230</v>
      </c>
      <c r="D32" s="34">
        <f>IF(ISNUMBER(Forecast!D41),Forecast!D41,"Unavailable")</f>
        <v>0</v>
      </c>
      <c r="E32" s="34">
        <f>IF(ISNUMBER(Forecast!E41),Forecast!E41,"Unavailable")</f>
        <v>0</v>
      </c>
      <c r="F32" s="34">
        <f>IF(ISNUMBER(Forecast!F41),Forecast!F41,"Unavailable")</f>
        <v>0</v>
      </c>
      <c r="G32" s="34">
        <f>IF(ISNUMBER(Forecast!G41),Forecast!G41,"Unavailable")</f>
        <v>0</v>
      </c>
      <c r="H32" s="34">
        <f>IF(ISNUMBER(Forecast!H41),Forecast!H41,"Unavailable")</f>
        <v>0</v>
      </c>
      <c r="I32" s="34">
        <f>IF(ISNUMBER(Forecast!I41),Forecast!I41,"Unavailable")</f>
        <v>0</v>
      </c>
      <c r="J32" s="34">
        <f>IF(ISNUMBER(Forecast!J41),Forecast!J41,"Unavailable")</f>
        <v>0</v>
      </c>
      <c r="K32" s="34">
        <f>IF(ISNUMBER(Forecast!K41),Forecast!K41,"Unavailable")</f>
        <v>0</v>
      </c>
    </row>
    <row r="33" spans="3:11" ht="14" customHeight="1">
      <c r="C33" s="26" t="s">
        <v>95</v>
      </c>
      <c r="D33" s="34">
        <f>IF(ISNUMBER(Forecast!D42),Forecast!D42,"Unavailable")</f>
        <v>83.71100000000007</v>
      </c>
      <c r="E33" s="34">
        <f>IF(ISNUMBER(Forecast!E42),Forecast!E42,"Unavailable")</f>
        <v>103.185</v>
      </c>
      <c r="F33" s="34">
        <f>IF(ISNUMBER(Forecast!F42),Forecast!F42,"Unavailable")</f>
        <v>103.185</v>
      </c>
      <c r="G33" s="34">
        <f>IF(ISNUMBER(Forecast!G42),Forecast!G42,"Unavailable")</f>
        <v>103.185</v>
      </c>
      <c r="H33" s="34">
        <f>IF(ISNUMBER(Forecast!H42),Forecast!H42,"Unavailable")</f>
        <v>103.185</v>
      </c>
      <c r="I33" s="34">
        <f>IF(ISNUMBER(Forecast!I42),Forecast!I42,"Unavailable")</f>
        <v>103.185</v>
      </c>
      <c r="J33" s="34">
        <f>IF(ISNUMBER(Forecast!J42),Forecast!J42,"Unavailable")</f>
        <v>103.185</v>
      </c>
      <c r="K33" s="34">
        <f>IF(ISNUMBER(Forecast!K42),Forecast!K42,"Unavailable")</f>
        <v>103.185</v>
      </c>
    </row>
    <row r="34" spans="3:11" ht="14" customHeight="1">
      <c r="C34" s="26" t="s">
        <v>231</v>
      </c>
      <c r="D34" s="34">
        <f>IF(ISNUMBER(Forecast!D43),Forecast!D43,"Unavailable")</f>
        <v>0</v>
      </c>
      <c r="E34" s="34">
        <f>IF(ISNUMBER(Forecast!E43),Forecast!E43,"Unavailable")</f>
        <v>0</v>
      </c>
      <c r="F34" s="34">
        <f>IF(ISNUMBER(Forecast!F43),Forecast!F43,"Unavailable")</f>
        <v>0</v>
      </c>
      <c r="G34" s="34">
        <f>IF(ISNUMBER(Forecast!G43),Forecast!G43,"Unavailable")</f>
        <v>0</v>
      </c>
      <c r="H34" s="34">
        <f>IF(ISNUMBER(Forecast!H43),Forecast!H43,"Unavailable")</f>
        <v>0</v>
      </c>
      <c r="I34" s="34">
        <f>IF(ISNUMBER(Forecast!I43),Forecast!I43,"Unavailable")</f>
        <v>0</v>
      </c>
      <c r="J34" s="34">
        <f>IF(ISNUMBER(Forecast!J43),Forecast!J43,"Unavailable")</f>
        <v>0</v>
      </c>
      <c r="K34" s="34">
        <f>IF(ISNUMBER(Forecast!K43),Forecast!K43,"Unavailable")</f>
        <v>0</v>
      </c>
    </row>
    <row r="35" spans="3:11" ht="14" customHeight="1">
      <c r="C35" s="26" t="s">
        <v>97</v>
      </c>
      <c r="D35" s="34">
        <f>IF(ISNUMBER(Forecast!D44),Forecast!D44,"Unavailable")</f>
        <v>483.07299999999998</v>
      </c>
      <c r="E35" s="34">
        <f>IF(ISNUMBER(Forecast!E44),Forecast!E44,"Unavailable")</f>
        <v>640.77</v>
      </c>
      <c r="F35" s="34">
        <f>IF(ISNUMBER(Forecast!F44),Forecast!F44,"Unavailable")</f>
        <v>804.36229876307993</v>
      </c>
      <c r="G35" s="34">
        <f>IF(ISNUMBER(Forecast!G44),Forecast!G44,"Unavailable")</f>
        <v>1030.3127431296505</v>
      </c>
      <c r="H35" s="34">
        <f>IF(ISNUMBER(Forecast!H44),Forecast!H44,"Unavailable")</f>
        <v>1302.6972643550034</v>
      </c>
      <c r="I35" s="34">
        <f>IF(ISNUMBER(Forecast!I44),Forecast!I44,"Unavailable")</f>
        <v>1628.0543333306327</v>
      </c>
      <c r="J35" s="34">
        <f>IF(ISNUMBER(Forecast!J44),Forecast!J44,"Unavailable")</f>
        <v>1991.6798279962748</v>
      </c>
      <c r="K35" s="34">
        <f>IF(ISNUMBER(Forecast!K44),Forecast!K44,"Unavailable")</f>
        <v>2394.1048175952092</v>
      </c>
    </row>
    <row r="36" spans="3:11" ht="14" customHeight="1">
      <c r="C36" s="36" t="s">
        <v>232</v>
      </c>
      <c r="D36" s="38">
        <f t="shared" ref="D36:K36" si="4">SUM(D30:D35)</f>
        <v>928.18000000000006</v>
      </c>
      <c r="E36" s="38">
        <f t="shared" si="4"/>
        <v>1108.9839999999999</v>
      </c>
      <c r="F36" s="38">
        <f t="shared" si="4"/>
        <v>1244.4628332862062</v>
      </c>
      <c r="G36" s="38">
        <f t="shared" si="4"/>
        <v>1588.2145841395313</v>
      </c>
      <c r="H36" s="38">
        <f t="shared" si="4"/>
        <v>1941.8101563638604</v>
      </c>
      <c r="I36" s="38">
        <f t="shared" si="4"/>
        <v>2386.0082983556049</v>
      </c>
      <c r="J36" s="38">
        <f t="shared" si="4"/>
        <v>2861.6611006882858</v>
      </c>
      <c r="K36" s="38">
        <f t="shared" si="4"/>
        <v>3388.5485936609793</v>
      </c>
    </row>
    <row r="37" spans="3:11" ht="14" customHeight="1">
      <c r="C37" s="36" t="s">
        <v>99</v>
      </c>
      <c r="D37" s="38">
        <f t="shared" ref="D37:K37" si="5">D28-D36</f>
        <v>0</v>
      </c>
      <c r="E37" s="38">
        <f t="shared" si="5"/>
        <v>0</v>
      </c>
      <c r="F37" s="38">
        <f t="shared" si="5"/>
        <v>0</v>
      </c>
      <c r="G37" s="38">
        <f t="shared" si="5"/>
        <v>0</v>
      </c>
      <c r="H37" s="38">
        <f t="shared" si="5"/>
        <v>0</v>
      </c>
      <c r="I37" s="38">
        <f t="shared" si="5"/>
        <v>0</v>
      </c>
      <c r="J37" s="38">
        <f t="shared" si="5"/>
        <v>0</v>
      </c>
      <c r="K37" s="38">
        <f t="shared" si="5"/>
        <v>0</v>
      </c>
    </row>
    <row r="38" spans="3:11" ht="8" customHeight="1">
      <c r="C38" s="26"/>
      <c r="D38" s="27"/>
      <c r="E38" s="27"/>
      <c r="F38" s="27"/>
      <c r="G38" s="27"/>
      <c r="H38" s="27"/>
      <c r="I38" s="27"/>
      <c r="J38" s="27"/>
      <c r="K38" s="27"/>
    </row>
    <row r="39" spans="3:11" ht="8" customHeight="1">
      <c r="C39" s="26"/>
      <c r="D39" s="27"/>
      <c r="E39" s="27"/>
      <c r="F39" s="27"/>
      <c r="G39" s="27"/>
      <c r="H39" s="27"/>
      <c r="I39" s="27"/>
      <c r="J39" s="27"/>
      <c r="K39" s="27"/>
    </row>
    <row r="40" spans="3:11" ht="16" customHeight="1">
      <c r="C40" s="32" t="s">
        <v>233</v>
      </c>
      <c r="D40" s="33"/>
      <c r="E40" s="33"/>
      <c r="F40" s="33"/>
      <c r="G40" s="33"/>
      <c r="H40" s="33"/>
      <c r="I40" s="33"/>
      <c r="J40" s="33"/>
      <c r="K40" s="33"/>
    </row>
    <row r="41" spans="3:11" ht="8" customHeight="1">
      <c r="C41" s="26"/>
      <c r="D41" s="27"/>
      <c r="E41" s="27"/>
      <c r="F41" s="27"/>
      <c r="G41" s="27"/>
      <c r="H41" s="27"/>
      <c r="I41" s="27"/>
      <c r="J41" s="27"/>
      <c r="K41" s="27"/>
    </row>
    <row r="42" spans="3:11" ht="14" customHeight="1">
      <c r="C42" s="26" t="s">
        <v>48</v>
      </c>
      <c r="D42" s="34">
        <f>IF(ISNUMBER(Forecast!D18),Forecast!D18,"Unavailable")</f>
        <v>149.84800000000001</v>
      </c>
      <c r="E42" s="34">
        <f>IF(ISNUMBER(Forecast!E18),Forecast!E18,"Unavailable")</f>
        <v>180.74700000000001</v>
      </c>
      <c r="F42" s="34">
        <f>IF(ISNUMBER(Forecast!F18),Forecast!F18,"Unavailable")</f>
        <v>157.47669880932</v>
      </c>
      <c r="G42" s="34">
        <f>IF(ISNUMBER(Forecast!G18),Forecast!G18,"Unavailable")</f>
        <v>217.696546855463</v>
      </c>
      <c r="H42" s="34">
        <f>IF(ISNUMBER(Forecast!H18),Forecast!H18,"Unavailable")</f>
        <v>262.65650261016191</v>
      </c>
      <c r="I42" s="34">
        <f>IF(ISNUMBER(Forecast!I18),Forecast!I18,"Unavailable")</f>
        <v>313.47187924135983</v>
      </c>
      <c r="J42" s="34">
        <f>IF(ISNUMBER(Forecast!J18),Forecast!J18,"Unavailable")</f>
        <v>349.70681544399048</v>
      </c>
      <c r="K42" s="34">
        <f>IF(ISNUMBER(Forecast!K18),Forecast!K18,"Unavailable")</f>
        <v>386.24710056983128</v>
      </c>
    </row>
    <row r="43" spans="3:11" ht="14" customHeight="1">
      <c r="C43" s="26" t="s">
        <v>51</v>
      </c>
      <c r="D43" s="34">
        <f>IF(ISNUMBER(Forecast!D12),Forecast!D12,"Unavailable")</f>
        <v>6.8710000000000004</v>
      </c>
      <c r="E43" s="34">
        <f>IF(ISNUMBER(Forecast!E12),Forecast!E12,"Unavailable")</f>
        <v>7.2649999999999997</v>
      </c>
      <c r="F43" s="34">
        <f>IF(ISNUMBER(Forecast!F12),Forecast!F12,"Unavailable")</f>
        <v>14.269733225440001</v>
      </c>
      <c r="G43" s="34">
        <f>IF(ISNUMBER(Forecast!G12),Forecast!G12,"Unavailable")</f>
        <v>19.259094192584403</v>
      </c>
      <c r="H43" s="34">
        <f>IF(ISNUMBER(Forecast!H12),Forecast!H12,"Unavailable")</f>
        <v>22.698710102112752</v>
      </c>
      <c r="I43" s="34">
        <f>IF(ISNUMBER(Forecast!I12),Forecast!I12,"Unavailable")</f>
        <v>27.732109379962317</v>
      </c>
      <c r="J43" s="34">
        <f>IF(ISNUMBER(Forecast!J12),Forecast!J12,"Unavailable")</f>
        <v>32.476918183853179</v>
      </c>
      <c r="K43" s="34">
        <f>IF(ISNUMBER(Forecast!K12),Forecast!K12,"Unavailable")</f>
        <v>37.748407734573384</v>
      </c>
    </row>
    <row r="44" spans="3:11" ht="14" customHeight="1">
      <c r="C44" s="26" t="s">
        <v>52</v>
      </c>
      <c r="D44" s="34">
        <f>IF(ISNUMBER(Forecast!D20),Forecast!D20,"Unavailable")</f>
        <v>4.7469999999999999</v>
      </c>
      <c r="E44" s="34">
        <f>IF(ISNUMBER(Forecast!E20),Forecast!E20,"Unavailable")</f>
        <v>4.6349999999999998</v>
      </c>
      <c r="F44" s="34">
        <f>IF(ISNUMBER(Forecast!F20),Forecast!F20,"Unavailable")</f>
        <v>6.1155999537600003</v>
      </c>
      <c r="G44" s="34">
        <f>IF(ISNUMBER(Forecast!G20),Forecast!G20,"Unavailable")</f>
        <v>8.2538975111076009</v>
      </c>
      <c r="H44" s="34">
        <f>IF(ISNUMBER(Forecast!H20),Forecast!H20,"Unavailable")</f>
        <v>9.7280186151911803</v>
      </c>
      <c r="I44" s="34">
        <f>IF(ISNUMBER(Forecast!I20),Forecast!I20,"Unavailable")</f>
        <v>11.885189734269565</v>
      </c>
      <c r="J44" s="34">
        <f>IF(ISNUMBER(Forecast!J20),Forecast!J20,"Unavailable")</f>
        <v>13.918679221651363</v>
      </c>
      <c r="K44" s="34">
        <f>IF(ISNUMBER(Forecast!K20),Forecast!K20,"Unavailable")</f>
        <v>16.177889029102879</v>
      </c>
    </row>
    <row r="45" spans="3:11" ht="14" customHeight="1">
      <c r="C45" s="26" t="s">
        <v>234</v>
      </c>
      <c r="D45" s="27"/>
      <c r="E45" s="27"/>
      <c r="F45" s="34">
        <f>IF(ISNUMBER(Forecast!F15),Forecast!F15,"Unavailable")</f>
        <v>0</v>
      </c>
      <c r="G45" s="34">
        <f>IF(ISNUMBER(Forecast!G15),Forecast!G15,"Unavailable")</f>
        <v>0</v>
      </c>
      <c r="H45" s="34">
        <f>IF(ISNUMBER(Forecast!H15),Forecast!H15,"Unavailable")</f>
        <v>0</v>
      </c>
      <c r="I45" s="34">
        <f>IF(ISNUMBER(Forecast!I15),Forecast!I15,"Unavailable")</f>
        <v>0</v>
      </c>
      <c r="J45" s="34">
        <f>IF(ISNUMBER(Forecast!J15),Forecast!J15,"Unavailable")</f>
        <v>0</v>
      </c>
      <c r="K45" s="34">
        <f>IF(ISNUMBER(Forecast!K15),Forecast!K15,"Unavailable")</f>
        <v>0</v>
      </c>
    </row>
    <row r="46" spans="3:11" ht="14" customHeight="1">
      <c r="C46" s="26" t="s">
        <v>235</v>
      </c>
      <c r="D46" s="27"/>
      <c r="E46" s="27"/>
      <c r="F46" s="34">
        <f>IF(ISNUMBER(Forecast!F26),Forecast!F26,"Unavailable")</f>
        <v>4.8709448402315161</v>
      </c>
      <c r="G46" s="34">
        <f>IF(ISNUMBER(Forecast!G26),Forecast!G26,"Unavailable")</f>
        <v>-20.410278714170147</v>
      </c>
      <c r="H46" s="34">
        <f>IF(ISNUMBER(Forecast!H26),Forecast!H26,"Unavailable")</f>
        <v>-14.070643484299126</v>
      </c>
      <c r="I46" s="34">
        <f>IF(ISNUMBER(Forecast!I26),Forecast!I26,"Unavailable")</f>
        <v>-20.590428877991144</v>
      </c>
      <c r="J46" s="34">
        <f>IF(ISNUMBER(Forecast!J26),Forecast!J26,"Unavailable")</f>
        <v>-19.409874485045975</v>
      </c>
      <c r="K46" s="34">
        <f>IF(ISNUMBER(Forecast!K26),Forecast!K26,"Unavailable")</f>
        <v>-21.5643990638373</v>
      </c>
    </row>
    <row r="47" spans="3:11" ht="14" customHeight="1">
      <c r="C47" s="36" t="s">
        <v>49</v>
      </c>
      <c r="D47" s="37">
        <f>IF(ISNUMBER(Forecast!D27),Forecast!D27,"Unavailable")</f>
        <v>108.661</v>
      </c>
      <c r="E47" s="37">
        <f>IF(ISNUMBER(Forecast!E27),Forecast!E27,"Unavailable")</f>
        <v>167.93700000000001</v>
      </c>
      <c r="F47" s="38">
        <f t="shared" ref="F47:K47" si="6">SUM(F42:F45)-F46</f>
        <v>172.9910871482885</v>
      </c>
      <c r="G47" s="38">
        <f t="shared" si="6"/>
        <v>265.61981727332511</v>
      </c>
      <c r="H47" s="38">
        <f t="shared" si="6"/>
        <v>309.15387481176492</v>
      </c>
      <c r="I47" s="38">
        <f t="shared" si="6"/>
        <v>373.67960723358283</v>
      </c>
      <c r="J47" s="38">
        <f t="shared" si="6"/>
        <v>415.51228733454099</v>
      </c>
      <c r="K47" s="38">
        <f t="shared" si="6"/>
        <v>461.73779639734482</v>
      </c>
    </row>
    <row r="48" spans="3:11" ht="14" customHeight="1">
      <c r="C48" s="26" t="s">
        <v>236</v>
      </c>
      <c r="D48" s="34">
        <f>IF(ISNUMBER(Forecast!D28),Forecast!D28,"Unavailable")</f>
        <v>11.983000000000001</v>
      </c>
      <c r="E48" s="34">
        <f>IF(ISNUMBER(Forecast!E28),Forecast!E28,"Unavailable")</f>
        <v>13.148999999999999</v>
      </c>
      <c r="F48" s="34">
        <f>IF(ISNUMBER(Forecast!F28),Forecast!F28,"Unavailable")</f>
        <v>35.67433306360001</v>
      </c>
      <c r="G48" s="34">
        <f>IF(ISNUMBER(Forecast!G28),Forecast!G28,"Unavailable")</f>
        <v>48.147735481461012</v>
      </c>
      <c r="H48" s="34">
        <f>IF(ISNUMBER(Forecast!H28),Forecast!H28,"Unavailable")</f>
        <v>56.746775255281882</v>
      </c>
      <c r="I48" s="34">
        <f>IF(ISNUMBER(Forecast!I28),Forecast!I28,"Unavailable")</f>
        <v>69.330273449905803</v>
      </c>
      <c r="J48" s="34">
        <f>IF(ISNUMBER(Forecast!J28),Forecast!J28,"Unavailable")</f>
        <v>81.192295459632959</v>
      </c>
      <c r="K48" s="34">
        <f>IF(ISNUMBER(Forecast!K28),Forecast!K28,"Unavailable")</f>
        <v>94.371019336433477</v>
      </c>
    </row>
    <row r="49" spans="3:11" ht="14" customHeight="1">
      <c r="C49" s="36" t="s">
        <v>84</v>
      </c>
      <c r="D49" s="39"/>
      <c r="E49" s="39"/>
      <c r="F49" s="38">
        <f t="shared" ref="F49:K49" si="7">F47-F48</f>
        <v>137.31675408468848</v>
      </c>
      <c r="G49" s="38">
        <f t="shared" si="7"/>
        <v>217.4720817918641</v>
      </c>
      <c r="H49" s="38">
        <f t="shared" si="7"/>
        <v>252.40709955648305</v>
      </c>
      <c r="I49" s="38">
        <f t="shared" si="7"/>
        <v>304.34933378367703</v>
      </c>
      <c r="J49" s="38">
        <f t="shared" si="7"/>
        <v>334.31999187490806</v>
      </c>
      <c r="K49" s="38">
        <f t="shared" si="7"/>
        <v>367.36677706091132</v>
      </c>
    </row>
    <row r="50" spans="3:11" ht="14" customHeight="1">
      <c r="C50" s="26" t="s">
        <v>85</v>
      </c>
      <c r="D50" s="27"/>
      <c r="E50" s="27"/>
      <c r="F50" s="34">
        <f>IF(ISNUMBER(Forecast!F30),Forecast!F30,"Unavailable")</f>
        <v>0</v>
      </c>
      <c r="G50" s="34">
        <f>IF(ISNUMBER(Forecast!G30),Forecast!G30,"Unavailable")</f>
        <v>0</v>
      </c>
      <c r="H50" s="34">
        <f>IF(ISNUMBER(Forecast!H30),Forecast!H30,"Unavailable")</f>
        <v>0</v>
      </c>
      <c r="I50" s="34">
        <f>IF(ISNUMBER(Forecast!I30),Forecast!I30,"Unavailable")</f>
        <v>0</v>
      </c>
      <c r="J50" s="34">
        <f>IF(ISNUMBER(Forecast!J30),Forecast!J30,"Unavailable")</f>
        <v>0</v>
      </c>
      <c r="K50" s="34">
        <f>IF(ISNUMBER(Forecast!K30),Forecast!K30,"Unavailable")</f>
        <v>0</v>
      </c>
    </row>
    <row r="51" spans="3:11" ht="14" customHeight="1">
      <c r="C51" s="26" t="s">
        <v>86</v>
      </c>
      <c r="D51" s="27"/>
      <c r="E51" s="27"/>
      <c r="F51" s="34">
        <f>IF(ISNUMBER(Forecast!F31),Forecast!F31,"Unavailable")</f>
        <v>0</v>
      </c>
      <c r="G51" s="34">
        <f>IF(ISNUMBER(Forecast!G31),Forecast!G31,"Unavailable")</f>
        <v>0</v>
      </c>
      <c r="H51" s="34">
        <f>IF(ISNUMBER(Forecast!H31),Forecast!H31,"Unavailable")</f>
        <v>0</v>
      </c>
      <c r="I51" s="34">
        <f>IF(ISNUMBER(Forecast!I31),Forecast!I31,"Unavailable")</f>
        <v>0</v>
      </c>
      <c r="J51" s="34">
        <f>IF(ISNUMBER(Forecast!J31),Forecast!J31,"Unavailable")</f>
        <v>0</v>
      </c>
      <c r="K51" s="34">
        <f>IF(ISNUMBER(Forecast!K31),Forecast!K31,"Unavailable")</f>
        <v>0</v>
      </c>
    </row>
    <row r="52" spans="3:11" ht="14" customHeight="1">
      <c r="C52" s="26" t="s">
        <v>87</v>
      </c>
      <c r="D52" s="27"/>
      <c r="E52" s="27"/>
      <c r="F52" s="34">
        <f>IF(ISNUMBER(Forecast!F32),Forecast!F32,"Unavailable")</f>
        <v>0</v>
      </c>
      <c r="G52" s="34">
        <f>IF(ISNUMBER(Forecast!G32),Forecast!G32,"Unavailable")</f>
        <v>0</v>
      </c>
      <c r="H52" s="34">
        <f>IF(ISNUMBER(Forecast!H32),Forecast!H32,"Unavailable")</f>
        <v>0</v>
      </c>
      <c r="I52" s="34">
        <f>IF(ISNUMBER(Forecast!I32),Forecast!I32,"Unavailable")</f>
        <v>0</v>
      </c>
      <c r="J52" s="34">
        <f>IF(ISNUMBER(Forecast!J32),Forecast!J32,"Unavailable")</f>
        <v>0</v>
      </c>
      <c r="K52" s="34">
        <f>IF(ISNUMBER(Forecast!K32),Forecast!K32,"Unavailable")</f>
        <v>0</v>
      </c>
    </row>
    <row r="53" spans="3:11" ht="14" customHeight="1">
      <c r="C53" s="26" t="s">
        <v>237</v>
      </c>
      <c r="D53" s="27"/>
      <c r="E53" s="27"/>
      <c r="F53" s="34">
        <f>IF(ISNUMBER(Forecast!F33),Forecast!F33,"Unavailable")</f>
        <v>0</v>
      </c>
      <c r="G53" s="34">
        <f>IF(ISNUMBER(Forecast!G33),Forecast!G33,"Unavailable")</f>
        <v>0</v>
      </c>
      <c r="H53" s="34">
        <f>IF(ISNUMBER(Forecast!H33),Forecast!H33,"Unavailable")</f>
        <v>0</v>
      </c>
      <c r="I53" s="34">
        <f>IF(ISNUMBER(Forecast!I33),Forecast!I33,"Unavailable")</f>
        <v>0</v>
      </c>
      <c r="J53" s="34">
        <f>IF(ISNUMBER(Forecast!J33),Forecast!J33,"Unavailable")</f>
        <v>0</v>
      </c>
      <c r="K53" s="34">
        <f>IF(ISNUMBER(Forecast!K33),Forecast!K33,"Unavailable")</f>
        <v>0</v>
      </c>
    </row>
    <row r="54" spans="3:11" ht="14" customHeight="1">
      <c r="C54" s="36" t="s">
        <v>89</v>
      </c>
      <c r="D54" s="39"/>
      <c r="E54" s="39"/>
      <c r="F54" s="38">
        <f t="shared" ref="F54:K54" si="8">F49+F50-F51+F52-F53</f>
        <v>137.31675408468848</v>
      </c>
      <c r="G54" s="38">
        <f t="shared" si="8"/>
        <v>217.4720817918641</v>
      </c>
      <c r="H54" s="38">
        <f t="shared" si="8"/>
        <v>252.40709955648305</v>
      </c>
      <c r="I54" s="38">
        <f t="shared" si="8"/>
        <v>304.34933378367703</v>
      </c>
      <c r="J54" s="38">
        <f t="shared" si="8"/>
        <v>334.31999187490806</v>
      </c>
      <c r="K54" s="38">
        <f t="shared" si="8"/>
        <v>367.36677706091132</v>
      </c>
    </row>
    <row r="55" spans="3:11" ht="14" customHeight="1">
      <c r="C55" s="26" t="s">
        <v>90</v>
      </c>
      <c r="D55" s="27"/>
      <c r="E55" s="27"/>
      <c r="F55" s="34">
        <f>IF(ISNUMBER(Forecast!F35),Forecast!F35,"Unavailable")</f>
        <v>450.73899999999998</v>
      </c>
      <c r="G55" s="34">
        <f>IF(ISNUMBER(Forecast!G35),Forecast!G35,"Unavailable")</f>
        <v>588.05575408468849</v>
      </c>
      <c r="H55" s="34">
        <f>IF(ISNUMBER(Forecast!H35),Forecast!H35,"Unavailable")</f>
        <v>805.52783587655256</v>
      </c>
      <c r="I55" s="34">
        <f>IF(ISNUMBER(Forecast!I35),Forecast!I35,"Unavailable")</f>
        <v>1057.9349354330357</v>
      </c>
      <c r="J55" s="34">
        <f>IF(ISNUMBER(Forecast!J35),Forecast!J35,"Unavailable")</f>
        <v>1362.2842692167128</v>
      </c>
      <c r="K55" s="34">
        <f>IF(ISNUMBER(Forecast!K35),Forecast!K35,"Unavailable")</f>
        <v>1696.6042610916209</v>
      </c>
    </row>
    <row r="56" spans="3:11" ht="14" customHeight="1">
      <c r="C56" s="36" t="s">
        <v>238</v>
      </c>
      <c r="D56" s="37">
        <f>IF(ISNUMBER(Forecast!D36),Forecast!D36,"Unavailable")</f>
        <v>315.33100000000002</v>
      </c>
      <c r="E56" s="37">
        <f>IF(ISNUMBER(Forecast!E36),Forecast!E36,"Unavailable")</f>
        <v>450.73899999999998</v>
      </c>
      <c r="F56" s="38">
        <f t="shared" ref="F56:K56" si="9">SUM(F54:F55)</f>
        <v>588.05575408468849</v>
      </c>
      <c r="G56" s="38">
        <f t="shared" si="9"/>
        <v>805.52783587655256</v>
      </c>
      <c r="H56" s="38">
        <f t="shared" si="9"/>
        <v>1057.9349354330357</v>
      </c>
      <c r="I56" s="38">
        <f t="shared" si="9"/>
        <v>1362.2842692167128</v>
      </c>
      <c r="J56" s="38">
        <f t="shared" si="9"/>
        <v>1696.6042610916209</v>
      </c>
      <c r="K56" s="38">
        <f t="shared" si="9"/>
        <v>2063.9710381525319</v>
      </c>
    </row>
    <row r="57" spans="3:11" ht="14" customHeight="1">
      <c r="C57" s="36" t="s">
        <v>239</v>
      </c>
      <c r="D57" s="39"/>
      <c r="E57" s="39"/>
      <c r="F57" s="37">
        <f>F56-Forecast!F36</f>
        <v>0</v>
      </c>
      <c r="G57" s="37">
        <f>G56-Forecast!G36</f>
        <v>0</v>
      </c>
      <c r="H57" s="37">
        <f>H56-Forecast!H36</f>
        <v>0</v>
      </c>
      <c r="I57" s="37">
        <f>I56-Forecast!I36</f>
        <v>0</v>
      </c>
      <c r="J57" s="37">
        <f>J56-Forecast!J36</f>
        <v>0</v>
      </c>
      <c r="K57" s="37">
        <f>K56-Forecast!K36</f>
        <v>0</v>
      </c>
    </row>
    <row r="58" spans="3:11" ht="8" customHeight="1">
      <c r="C58" s="26"/>
      <c r="D58" s="27"/>
      <c r="E58" s="27"/>
      <c r="F58" s="27"/>
      <c r="G58" s="27"/>
      <c r="H58" s="27"/>
      <c r="I58" s="27"/>
      <c r="J58" s="27"/>
      <c r="K58" s="27"/>
    </row>
    <row r="59" spans="3:11" ht="8" customHeight="1">
      <c r="C59" s="26"/>
      <c r="D59" s="27"/>
      <c r="E59" s="27"/>
      <c r="F59" s="27"/>
      <c r="G59" s="27"/>
      <c r="H59" s="27"/>
      <c r="I59" s="27"/>
      <c r="J59" s="27"/>
      <c r="K59" s="27"/>
    </row>
    <row r="60" spans="3:11" ht="24" customHeight="1">
      <c r="C60" s="55" t="s">
        <v>240</v>
      </c>
      <c r="D60" s="56"/>
      <c r="E60" s="56"/>
      <c r="F60" s="56"/>
      <c r="G60" s="56"/>
      <c r="H60" s="56"/>
      <c r="I60" s="56"/>
      <c r="J60" s="56"/>
      <c r="K60" s="56"/>
    </row>
    <row r="61" spans="3:11" ht="8" customHeight="1">
      <c r="C61" s="26"/>
      <c r="D61" s="27"/>
      <c r="E61" s="27"/>
      <c r="F61" s="27"/>
      <c r="G61" s="27"/>
      <c r="H61" s="27"/>
      <c r="I61" s="27"/>
      <c r="J61" s="27"/>
      <c r="K61" s="27"/>
    </row>
    <row r="62" spans="3:11" ht="24" customHeight="1">
      <c r="C62" s="55" t="s">
        <v>241</v>
      </c>
      <c r="D62" s="56"/>
      <c r="E62" s="56"/>
      <c r="F62" s="56"/>
      <c r="G62" s="56"/>
      <c r="H62" s="56"/>
      <c r="I62" s="56"/>
      <c r="J62" s="56"/>
      <c r="K62" s="56"/>
    </row>
    <row r="63" spans="3:11" ht="8" customHeight="1">
      <c r="C63" s="26"/>
      <c r="D63" s="27"/>
      <c r="E63" s="27"/>
      <c r="F63" s="27"/>
      <c r="G63" s="27"/>
      <c r="H63" s="27"/>
      <c r="I63" s="27"/>
      <c r="J63" s="27"/>
      <c r="K63" s="27"/>
    </row>
    <row r="64" spans="3:11" ht="8" customHeight="1">
      <c r="C64" s="26"/>
      <c r="D64" s="27"/>
      <c r="E64" s="27"/>
      <c r="F64" s="27"/>
      <c r="G64" s="27"/>
      <c r="H64" s="27"/>
      <c r="I64" s="27"/>
      <c r="J64" s="27"/>
      <c r="K64" s="27"/>
    </row>
  </sheetData>
  <mergeCells count="5">
    <mergeCell ref="C2:K2"/>
    <mergeCell ref="C3:K3"/>
    <mergeCell ref="C60:K60"/>
    <mergeCell ref="C62:K62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1919-3C49-4D21-BAD9-8DBD3005E5EF}">
  <sheetPr>
    <pageSetUpPr fitToPage="1"/>
  </sheetPr>
  <dimension ref="C2:I57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9" width="15" customWidth="1"/>
  </cols>
  <sheetData>
    <row r="2" spans="3:9" ht="26" customHeight="1">
      <c r="C2" s="51" t="s">
        <v>242</v>
      </c>
      <c r="D2" s="52"/>
      <c r="E2" s="52"/>
      <c r="F2" s="52"/>
      <c r="G2" s="52"/>
      <c r="H2" s="52"/>
      <c r="I2" s="52"/>
    </row>
    <row r="3" spans="3:9" ht="24" customHeight="1">
      <c r="C3" s="53" t="s">
        <v>222</v>
      </c>
      <c r="D3" s="54"/>
      <c r="E3" s="54"/>
      <c r="F3" s="54"/>
      <c r="G3" s="54"/>
      <c r="H3" s="54"/>
      <c r="I3" s="54"/>
    </row>
    <row r="4" spans="3:9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</row>
    <row r="5" spans="3:9" ht="8" customHeight="1">
      <c r="C5" s="26"/>
      <c r="D5" s="26"/>
      <c r="E5" s="26"/>
      <c r="F5" s="26"/>
      <c r="G5" s="26"/>
      <c r="H5" s="26"/>
      <c r="I5" s="26"/>
    </row>
    <row r="6" spans="3:9" ht="14" customHeight="1">
      <c r="C6" s="26"/>
      <c r="D6" s="29">
        <f>Forecast!G6</f>
        <v>46752</v>
      </c>
      <c r="E6" s="29">
        <f>Forecast!H6</f>
        <v>47118</v>
      </c>
      <c r="F6" s="29">
        <f>Forecast!I6</f>
        <v>47483</v>
      </c>
      <c r="G6" s="29">
        <f>Forecast!J6</f>
        <v>47848</v>
      </c>
      <c r="H6" s="29">
        <f>Forecast!K6</f>
        <v>48213</v>
      </c>
      <c r="I6" s="26"/>
    </row>
    <row r="7" spans="3:9" ht="8" customHeight="1">
      <c r="C7" s="26"/>
      <c r="D7" s="26"/>
      <c r="E7" s="26"/>
      <c r="F7" s="26"/>
      <c r="G7" s="26"/>
      <c r="H7" s="26"/>
      <c r="I7" s="26"/>
    </row>
    <row r="8" spans="3:9" ht="16" customHeight="1">
      <c r="C8" s="32" t="s">
        <v>243</v>
      </c>
      <c r="D8" s="33"/>
      <c r="E8" s="33"/>
      <c r="F8" s="33"/>
      <c r="G8" s="33"/>
      <c r="H8" s="33"/>
      <c r="I8" s="33"/>
    </row>
    <row r="9" spans="3:9" ht="14" customHeight="1">
      <c r="C9" s="26" t="s">
        <v>17</v>
      </c>
      <c r="D9" s="34">
        <f>Forecast!G9</f>
        <v>1375.6495851846003</v>
      </c>
      <c r="E9" s="34">
        <f>Forecast!H9</f>
        <v>1621.3364358651966</v>
      </c>
      <c r="F9" s="34">
        <f>Forecast!I9</f>
        <v>1980.8649557115941</v>
      </c>
      <c r="G9" s="34">
        <f>Forecast!J9</f>
        <v>2319.779870275227</v>
      </c>
      <c r="H9" s="34">
        <f>Forecast!K9</f>
        <v>2696.3148381838132</v>
      </c>
      <c r="I9" s="27"/>
    </row>
    <row r="10" spans="3:9" ht="14" customHeight="1">
      <c r="C10" s="26" t="s">
        <v>18</v>
      </c>
      <c r="D10" s="34">
        <f>Forecast!G11</f>
        <v>309.52115666653509</v>
      </c>
      <c r="E10" s="34">
        <f>Forecast!H11</f>
        <v>372.90738024899525</v>
      </c>
      <c r="F10" s="34">
        <f>Forecast!I11</f>
        <v>445.69461503510871</v>
      </c>
      <c r="G10" s="34">
        <f>Forecast!J11</f>
        <v>498.75267210917383</v>
      </c>
      <c r="H10" s="34">
        <f>Forecast!K11</f>
        <v>552.7445418276817</v>
      </c>
      <c r="I10" s="27"/>
    </row>
    <row r="11" spans="3:9" ht="14" customHeight="1">
      <c r="C11" s="26" t="s">
        <v>51</v>
      </c>
      <c r="D11" s="34">
        <f>Forecast!G12</f>
        <v>19.259094192584403</v>
      </c>
      <c r="E11" s="34">
        <f>Forecast!H12</f>
        <v>22.698710102112752</v>
      </c>
      <c r="F11" s="34">
        <f>Forecast!I12</f>
        <v>27.732109379962317</v>
      </c>
      <c r="G11" s="34">
        <f>Forecast!J12</f>
        <v>32.476918183853179</v>
      </c>
      <c r="H11" s="34">
        <f>Forecast!K12</f>
        <v>37.748407734573384</v>
      </c>
      <c r="I11" s="27"/>
    </row>
    <row r="12" spans="3:9" ht="14" customHeight="1">
      <c r="C12" s="26" t="s">
        <v>224</v>
      </c>
      <c r="D12" s="34">
        <f>Forecast!G13</f>
        <v>290.26206247395066</v>
      </c>
      <c r="E12" s="34">
        <f>Forecast!H13</f>
        <v>350.20867014688253</v>
      </c>
      <c r="F12" s="34">
        <f>Forecast!I13</f>
        <v>417.9625056551464</v>
      </c>
      <c r="G12" s="34">
        <f>Forecast!J13</f>
        <v>466.27575392532066</v>
      </c>
      <c r="H12" s="34">
        <f>Forecast!K13</f>
        <v>514.99613409310837</v>
      </c>
      <c r="I12" s="27"/>
    </row>
    <row r="13" spans="3:9" ht="14" customHeight="1">
      <c r="C13" s="26" t="s">
        <v>244</v>
      </c>
      <c r="D13" s="34">
        <f>D12*(1-Assumptions!G60)</f>
        <v>217.696546855463</v>
      </c>
      <c r="E13" s="34">
        <f>E12*(1-Assumptions!H60)</f>
        <v>262.65650261016191</v>
      </c>
      <c r="F13" s="34">
        <f>F12*(1-Assumptions!I60)</f>
        <v>313.47187924135983</v>
      </c>
      <c r="G13" s="34">
        <f>G12*(1-Assumptions!J60)</f>
        <v>349.70681544399048</v>
      </c>
      <c r="H13" s="34">
        <f>H12*(1-Assumptions!K60)</f>
        <v>386.24710056983128</v>
      </c>
      <c r="I13" s="27"/>
    </row>
    <row r="14" spans="3:9" ht="14" customHeight="1">
      <c r="C14" s="26" t="s">
        <v>245</v>
      </c>
      <c r="D14" s="34">
        <f>Forecast!G12</f>
        <v>19.259094192584403</v>
      </c>
      <c r="E14" s="34">
        <f>Forecast!H12</f>
        <v>22.698710102112752</v>
      </c>
      <c r="F14" s="34">
        <f>Forecast!I12</f>
        <v>27.732109379962317</v>
      </c>
      <c r="G14" s="34">
        <f>Forecast!J12</f>
        <v>32.476918183853179</v>
      </c>
      <c r="H14" s="34">
        <f>Forecast!K12</f>
        <v>37.748407734573384</v>
      </c>
      <c r="I14" s="27"/>
    </row>
    <row r="15" spans="3:9" ht="14" customHeight="1">
      <c r="C15" s="26" t="s">
        <v>236</v>
      </c>
      <c r="D15" s="34">
        <f>Forecast!G28</f>
        <v>48.147735481461012</v>
      </c>
      <c r="E15" s="34">
        <f>Forecast!H28</f>
        <v>56.746775255281882</v>
      </c>
      <c r="F15" s="34">
        <f>Forecast!I28</f>
        <v>69.330273449905803</v>
      </c>
      <c r="G15" s="34">
        <f>Forecast!J28</f>
        <v>81.192295459632959</v>
      </c>
      <c r="H15" s="34">
        <f>Forecast!K28</f>
        <v>94.371019336433477</v>
      </c>
      <c r="I15" s="27"/>
    </row>
    <row r="16" spans="3:9" ht="14" customHeight="1">
      <c r="C16" s="26" t="s">
        <v>235</v>
      </c>
      <c r="D16" s="34">
        <f>Forecast!G26</f>
        <v>-20.410278714170147</v>
      </c>
      <c r="E16" s="34">
        <f>Forecast!H26</f>
        <v>-14.070643484299126</v>
      </c>
      <c r="F16" s="34">
        <f>Forecast!I26</f>
        <v>-20.590428877991144</v>
      </c>
      <c r="G16" s="34">
        <f>Forecast!J26</f>
        <v>-19.409874485045975</v>
      </c>
      <c r="H16" s="34">
        <f>Forecast!K26</f>
        <v>-21.5643990638373</v>
      </c>
      <c r="I16" s="27"/>
    </row>
    <row r="17" spans="3:9" ht="14" customHeight="1">
      <c r="C17" s="36" t="s">
        <v>123</v>
      </c>
      <c r="D17" s="38">
        <f>D13+D14-D15-D16</f>
        <v>209.21818428075653</v>
      </c>
      <c r="E17" s="38">
        <f>E13+E14-E15-E16</f>
        <v>242.67908094129189</v>
      </c>
      <c r="F17" s="38">
        <f>F13+F14-F15-F16</f>
        <v>292.46414404940748</v>
      </c>
      <c r="G17" s="38">
        <f>G13+G14-G15-G16</f>
        <v>320.4013126532567</v>
      </c>
      <c r="H17" s="38">
        <f>H13+H14-H15-H16</f>
        <v>351.18888803180846</v>
      </c>
      <c r="I17" s="39"/>
    </row>
    <row r="18" spans="3:9" ht="14" customHeight="1">
      <c r="C18" s="26" t="s">
        <v>246</v>
      </c>
      <c r="D18" s="34">
        <f>Forecast!G48</f>
        <v>209.21818428075653</v>
      </c>
      <c r="E18" s="34">
        <f>Forecast!H48</f>
        <v>242.67908094129189</v>
      </c>
      <c r="F18" s="34">
        <f>Forecast!I48</f>
        <v>292.46414404940748</v>
      </c>
      <c r="G18" s="34">
        <f>Forecast!J48</f>
        <v>320.4013126532567</v>
      </c>
      <c r="H18" s="34">
        <f>Forecast!K48</f>
        <v>351.18888803180846</v>
      </c>
      <c r="I18" s="27"/>
    </row>
    <row r="19" spans="3:9" ht="14" customHeight="1">
      <c r="C19" s="36" t="s">
        <v>239</v>
      </c>
      <c r="D19" s="38">
        <f>D17-D18</f>
        <v>0</v>
      </c>
      <c r="E19" s="38">
        <f>E17-E18</f>
        <v>0</v>
      </c>
      <c r="F19" s="38">
        <f>F17-F18</f>
        <v>0</v>
      </c>
      <c r="G19" s="38">
        <f>G17-G18</f>
        <v>0</v>
      </c>
      <c r="H19" s="38">
        <f>H17-H18</f>
        <v>0</v>
      </c>
      <c r="I19" s="39"/>
    </row>
    <row r="20" spans="3:9" ht="8" customHeight="1">
      <c r="C20" s="26"/>
      <c r="D20" s="27"/>
      <c r="E20" s="27"/>
      <c r="F20" s="27"/>
      <c r="G20" s="27"/>
      <c r="H20" s="27"/>
      <c r="I20" s="27"/>
    </row>
    <row r="21" spans="3:9" ht="14" customHeight="1">
      <c r="C21" s="26" t="s">
        <v>124</v>
      </c>
      <c r="D21" s="34">
        <f>Valuation!G10</f>
        <v>1</v>
      </c>
      <c r="E21" s="34">
        <f>Valuation!H10</f>
        <v>2</v>
      </c>
      <c r="F21" s="34">
        <f>Valuation!I10</f>
        <v>3</v>
      </c>
      <c r="G21" s="34">
        <f>Valuation!J10</f>
        <v>4</v>
      </c>
      <c r="H21" s="34">
        <f>Valuation!K10</f>
        <v>5</v>
      </c>
      <c r="I21" s="27"/>
    </row>
    <row r="22" spans="3:9" ht="14" customHeight="1">
      <c r="C22" s="36" t="s">
        <v>126</v>
      </c>
      <c r="D22" s="37">
        <f>D17/(1+Assumptions!$D$71)^D21</f>
        <v>187.63962715762918</v>
      </c>
      <c r="E22" s="37">
        <f>E17/(1+Assumptions!$D$71)^E21</f>
        <v>195.20125555815872</v>
      </c>
      <c r="F22" s="37">
        <f>F17/(1+Assumptions!$D$71)^F21</f>
        <v>210.98327395427248</v>
      </c>
      <c r="G22" s="37">
        <f>G17/(1+Assumptions!$D$71)^G21</f>
        <v>207.29785922727612</v>
      </c>
      <c r="H22" s="37">
        <f>H17/(1+Assumptions!$D$71)^H21</f>
        <v>203.78228564053975</v>
      </c>
      <c r="I22" s="39"/>
    </row>
    <row r="23" spans="3:9" ht="8" customHeight="1">
      <c r="C23" s="26"/>
      <c r="D23" s="27"/>
      <c r="E23" s="27"/>
      <c r="F23" s="27"/>
      <c r="G23" s="27"/>
      <c r="H23" s="27"/>
      <c r="I23" s="27"/>
    </row>
    <row r="24" spans="3:9" ht="8" customHeight="1">
      <c r="C24" s="26"/>
      <c r="D24" s="27"/>
      <c r="E24" s="27"/>
      <c r="F24" s="27"/>
      <c r="G24" s="27"/>
      <c r="H24" s="27"/>
      <c r="I24" s="27"/>
    </row>
    <row r="25" spans="3:9" ht="16" customHeight="1">
      <c r="C25" s="32" t="s">
        <v>247</v>
      </c>
      <c r="D25" s="33"/>
      <c r="E25" s="33"/>
      <c r="F25" s="33"/>
      <c r="G25" s="33"/>
      <c r="H25" s="33"/>
      <c r="I25" s="33"/>
    </row>
    <row r="26" spans="3:9" ht="14" customHeight="1">
      <c r="C26" s="26" t="s">
        <v>248</v>
      </c>
      <c r="D26" s="35">
        <f>SUM(D22:H22)</f>
        <v>1004.9043015378762</v>
      </c>
      <c r="E26" s="27"/>
      <c r="F26" s="27"/>
      <c r="G26" s="27"/>
      <c r="H26" s="27"/>
      <c r="I26" s="27"/>
    </row>
    <row r="27" spans="3:9" ht="14" customHeight="1">
      <c r="C27" s="26" t="s">
        <v>127</v>
      </c>
      <c r="D27" s="34">
        <f>H17*(1+Assumptions!D72)</f>
        <v>359.96861023260362</v>
      </c>
      <c r="E27" s="27"/>
      <c r="F27" s="27"/>
      <c r="G27" s="27"/>
      <c r="H27" s="27"/>
      <c r="I27" s="27"/>
    </row>
    <row r="28" spans="3:9" ht="14" customHeight="1">
      <c r="C28" s="26" t="s">
        <v>128</v>
      </c>
      <c r="D28" s="34">
        <f>D27/(Assumptions!D71-Assumptions!D72)</f>
        <v>3999.651224806707</v>
      </c>
      <c r="E28" s="27"/>
      <c r="F28" s="27"/>
      <c r="G28" s="27"/>
      <c r="H28" s="27"/>
      <c r="I28" s="27"/>
    </row>
    <row r="29" spans="3:9" ht="14" customHeight="1">
      <c r="C29" s="26" t="s">
        <v>249</v>
      </c>
      <c r="D29" s="34">
        <f>D28/(1+Assumptions!D71)^H21</f>
        <v>2320.8538086839244</v>
      </c>
      <c r="E29" s="27"/>
      <c r="F29" s="27"/>
      <c r="G29" s="27"/>
      <c r="H29" s="27"/>
      <c r="I29" s="27"/>
    </row>
    <row r="30" spans="3:9" ht="14" customHeight="1">
      <c r="C30" s="36" t="s">
        <v>130</v>
      </c>
      <c r="D30" s="38">
        <f>SUM(D26,D29)</f>
        <v>3325.7581102218005</v>
      </c>
      <c r="E30" s="39"/>
      <c r="F30" s="39"/>
      <c r="G30" s="39"/>
      <c r="H30" s="39"/>
      <c r="I30" s="39"/>
    </row>
    <row r="31" spans="3:9" ht="14" customHeight="1">
      <c r="C31" s="36" t="s">
        <v>250</v>
      </c>
      <c r="D31" s="37">
        <f>D30-Valuation!D18</f>
        <v>0</v>
      </c>
      <c r="E31" s="39"/>
      <c r="F31" s="39"/>
      <c r="G31" s="39"/>
      <c r="H31" s="39"/>
      <c r="I31" s="39"/>
    </row>
    <row r="32" spans="3:9" ht="8" customHeight="1">
      <c r="C32" s="26"/>
      <c r="D32" s="27"/>
      <c r="E32" s="27"/>
      <c r="F32" s="27"/>
      <c r="G32" s="27"/>
      <c r="H32" s="27"/>
      <c r="I32" s="27"/>
    </row>
    <row r="33" spans="3:9" ht="14" customHeight="1">
      <c r="C33" s="26" t="s">
        <v>251</v>
      </c>
      <c r="D33" s="34">
        <f>Valuation!D19</f>
        <v>0</v>
      </c>
      <c r="E33" s="27"/>
      <c r="F33" s="27"/>
      <c r="G33" s="27"/>
      <c r="H33" s="27"/>
      <c r="I33" s="27"/>
    </row>
    <row r="34" spans="3:9" ht="14" customHeight="1">
      <c r="C34" s="26" t="s">
        <v>252</v>
      </c>
      <c r="D34" s="34">
        <f>Valuation!D20</f>
        <v>450.73899999999998</v>
      </c>
      <c r="E34" s="27"/>
      <c r="F34" s="27"/>
      <c r="G34" s="27"/>
      <c r="H34" s="27"/>
      <c r="I34" s="27"/>
    </row>
    <row r="35" spans="3:9" ht="14" customHeight="1">
      <c r="C35" s="36" t="s">
        <v>253</v>
      </c>
      <c r="D35" s="38">
        <f>D30-D33+D34</f>
        <v>3776.4971102218005</v>
      </c>
      <c r="E35" s="39"/>
      <c r="F35" s="39"/>
      <c r="G35" s="39"/>
      <c r="H35" s="39"/>
      <c r="I35" s="39"/>
    </row>
    <row r="36" spans="3:9" ht="14" customHeight="1">
      <c r="C36" s="26" t="s">
        <v>254</v>
      </c>
      <c r="D36" s="34">
        <f>Valuation!D22</f>
        <v>36.432563999999999</v>
      </c>
      <c r="E36" s="27"/>
      <c r="F36" s="27"/>
      <c r="G36" s="27"/>
      <c r="H36" s="27"/>
      <c r="I36" s="27"/>
    </row>
    <row r="37" spans="3:9" ht="14" customHeight="1">
      <c r="C37" s="36" t="s">
        <v>255</v>
      </c>
      <c r="D37" s="38">
        <f>MAX(0,D35)/D36</f>
        <v>103.65718729600806</v>
      </c>
      <c r="E37" s="39"/>
      <c r="F37" s="39"/>
      <c r="G37" s="39"/>
      <c r="H37" s="39"/>
      <c r="I37" s="39"/>
    </row>
    <row r="38" spans="3:9" ht="8" customHeight="1">
      <c r="C38" s="26"/>
      <c r="D38" s="27"/>
      <c r="E38" s="27"/>
      <c r="F38" s="27"/>
      <c r="G38" s="27"/>
      <c r="H38" s="27"/>
      <c r="I38" s="27"/>
    </row>
    <row r="39" spans="3:9" ht="14" customHeight="1">
      <c r="C39" s="26" t="s">
        <v>256</v>
      </c>
      <c r="D39" s="40">
        <f>D29/D30</f>
        <v>0.69784203533946809</v>
      </c>
      <c r="E39" s="27"/>
      <c r="F39" s="27"/>
      <c r="G39" s="27"/>
      <c r="H39" s="27"/>
      <c r="I39" s="27"/>
    </row>
    <row r="40" spans="3:9" ht="8" customHeight="1">
      <c r="C40" s="26"/>
      <c r="D40" s="41"/>
      <c r="E40" s="27"/>
      <c r="F40" s="27"/>
      <c r="G40" s="27"/>
      <c r="H40" s="27"/>
      <c r="I40" s="27"/>
    </row>
    <row r="41" spans="3:9" ht="14" customHeight="1">
      <c r="C41" s="26" t="s">
        <v>257</v>
      </c>
      <c r="D41" s="42">
        <f>Assumptions!D71</f>
        <v>0.115</v>
      </c>
      <c r="E41" s="27"/>
      <c r="F41" s="27"/>
      <c r="G41" s="27"/>
      <c r="H41" s="27"/>
      <c r="I41" s="27"/>
    </row>
    <row r="42" spans="3:9" ht="14" customHeight="1">
      <c r="C42" s="26" t="s">
        <v>258</v>
      </c>
      <c r="D42" s="42">
        <f>Assumptions!D72</f>
        <v>2.5000000000000001E-2</v>
      </c>
      <c r="E42" s="27"/>
      <c r="F42" s="27"/>
      <c r="G42" s="27"/>
      <c r="H42" s="27"/>
      <c r="I42" s="27"/>
    </row>
    <row r="43" spans="3:9" ht="8" customHeight="1">
      <c r="C43" s="26"/>
      <c r="D43" s="27"/>
      <c r="E43" s="27"/>
      <c r="F43" s="27"/>
      <c r="G43" s="27"/>
      <c r="H43" s="27"/>
      <c r="I43" s="27"/>
    </row>
    <row r="44" spans="3:9" ht="8" customHeight="1">
      <c r="C44" s="26"/>
      <c r="D44" s="27"/>
      <c r="E44" s="27"/>
      <c r="F44" s="27"/>
      <c r="G44" s="27"/>
      <c r="H44" s="27"/>
      <c r="I44" s="27"/>
    </row>
    <row r="45" spans="3:9" ht="8" customHeight="1">
      <c r="C45" s="26"/>
      <c r="D45" s="27"/>
      <c r="E45" s="27"/>
      <c r="F45" s="27"/>
      <c r="G45" s="27"/>
      <c r="H45" s="27"/>
      <c r="I45" s="27"/>
    </row>
    <row r="46" spans="3:9" ht="24" customHeight="1">
      <c r="C46" s="55" t="s">
        <v>259</v>
      </c>
      <c r="D46" s="56"/>
      <c r="E46" s="56"/>
      <c r="F46" s="56"/>
      <c r="G46" s="56"/>
      <c r="H46" s="56"/>
      <c r="I46" s="56"/>
    </row>
    <row r="47" spans="3:9" ht="8" customHeight="1">
      <c r="C47" s="26"/>
      <c r="D47" s="27"/>
      <c r="E47" s="27"/>
      <c r="F47" s="27"/>
      <c r="G47" s="27"/>
      <c r="H47" s="27"/>
      <c r="I47" s="27"/>
    </row>
    <row r="48" spans="3:9" ht="8" customHeight="1">
      <c r="C48" s="26"/>
      <c r="D48" s="27"/>
      <c r="E48" s="27"/>
      <c r="F48" s="27"/>
      <c r="G48" s="27"/>
      <c r="H48" s="27"/>
      <c r="I48" s="27"/>
    </row>
    <row r="49" spans="3:9" ht="24" customHeight="1">
      <c r="C49" s="55" t="s">
        <v>260</v>
      </c>
      <c r="D49" s="56"/>
      <c r="E49" s="56"/>
      <c r="F49" s="56"/>
      <c r="G49" s="56"/>
      <c r="H49" s="56"/>
      <c r="I49" s="56"/>
    </row>
    <row r="50" spans="3:9" ht="8" customHeight="1">
      <c r="C50" s="26"/>
      <c r="D50" s="27"/>
      <c r="E50" s="27"/>
      <c r="F50" s="27"/>
      <c r="G50" s="27"/>
      <c r="H50" s="27"/>
      <c r="I50" s="27"/>
    </row>
    <row r="51" spans="3:9" ht="8" customHeight="1">
      <c r="C51" s="26"/>
      <c r="D51" s="27"/>
      <c r="E51" s="27"/>
      <c r="F51" s="27"/>
      <c r="G51" s="27"/>
      <c r="H51" s="27"/>
      <c r="I51" s="27"/>
    </row>
    <row r="52" spans="3:9" ht="24" customHeight="1">
      <c r="C52" s="55" t="s">
        <v>261</v>
      </c>
      <c r="D52" s="56"/>
      <c r="E52" s="56"/>
      <c r="F52" s="56"/>
      <c r="G52" s="56"/>
      <c r="H52" s="56"/>
      <c r="I52" s="56"/>
    </row>
    <row r="53" spans="3:9" ht="8" customHeight="1">
      <c r="C53" s="26"/>
      <c r="D53" s="27"/>
      <c r="E53" s="27"/>
      <c r="F53" s="27"/>
      <c r="G53" s="27"/>
      <c r="H53" s="27"/>
      <c r="I53" s="27"/>
    </row>
    <row r="54" spans="3:9" ht="8" customHeight="1">
      <c r="C54" s="26"/>
      <c r="D54" s="27"/>
      <c r="E54" s="27"/>
      <c r="F54" s="27"/>
      <c r="G54" s="27"/>
      <c r="H54" s="27"/>
      <c r="I54" s="27"/>
    </row>
    <row r="55" spans="3:9" ht="8" customHeight="1">
      <c r="C55" s="26"/>
      <c r="D55" s="27"/>
      <c r="E55" s="27"/>
      <c r="F55" s="27"/>
      <c r="G55" s="27"/>
      <c r="H55" s="27"/>
      <c r="I55" s="27"/>
    </row>
    <row r="56" spans="3:9" ht="8" customHeight="1">
      <c r="C56" s="26"/>
      <c r="D56" s="27"/>
      <c r="E56" s="27"/>
      <c r="F56" s="27"/>
      <c r="G56" s="27"/>
      <c r="H56" s="27"/>
      <c r="I56" s="27"/>
    </row>
    <row r="57" spans="3:9" ht="8" customHeight="1">
      <c r="C57" s="26"/>
      <c r="D57" s="27"/>
      <c r="E57" s="27"/>
      <c r="F57" s="27"/>
      <c r="G57" s="27"/>
      <c r="H57" s="27"/>
      <c r="I57" s="27"/>
    </row>
  </sheetData>
  <mergeCells count="6">
    <mergeCell ref="C2:I2"/>
    <mergeCell ref="C3:I3"/>
    <mergeCell ref="C46:I46"/>
    <mergeCell ref="C49:I49"/>
    <mergeCell ref="C52:I52"/>
    <mergeCell ref="C4:I4"/>
  </mergeCells>
  <pageMargins left="0.3888888888888889" right="0.3888888888888889" top="0.3888888888888889" bottom="0.3888888888888889" header="0.3" footer="0.3"/>
  <pageSetup paperSize="9" scale="96" fitToHeight="1" orientation="landscape" r:id="rId1" fitToWidth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2C38-2D9F-499B-809A-6EDDC6753375}">
  <sheetPr>
    <pageSetUpPr fitToPage="1"/>
  </sheetPr>
  <dimension ref="C2:K41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2" spans="3:11" ht="26" customHeight="1">
      <c r="C2" s="51" t="s">
        <v>262</v>
      </c>
      <c r="D2" s="52"/>
      <c r="E2" s="52"/>
      <c r="F2" s="52"/>
      <c r="G2" s="52"/>
      <c r="H2" s="52"/>
      <c r="I2" s="52"/>
      <c r="J2" s="52"/>
      <c r="K2" s="52"/>
    </row>
    <row r="3" spans="3:11" ht="24" customHeight="1">
      <c r="C3" s="53" t="s">
        <v>222</v>
      </c>
      <c r="D3" s="54"/>
      <c r="E3" s="54"/>
      <c r="F3" s="54"/>
      <c r="G3" s="54"/>
      <c r="H3" s="54"/>
      <c r="I3" s="54"/>
      <c r="J3" s="54"/>
      <c r="K3" s="54"/>
    </row>
    <row r="4" spans="3:11" ht="16" customHeight="1">
      <c r="C4" s="26" t="inlineStr">
        <is>
          <t>Author: Eshan Mukherjee</t>
        </is>
      </c>
      <c r="D4" s="26"/>
      <c r="E4" s="26"/>
      <c r="F4" s="26"/>
      <c r="G4" s="26"/>
      <c r="H4" s="26"/>
      <c r="I4" s="26"/>
      <c r="J4" s="26"/>
      <c r="K4" s="26"/>
    </row>
    <row r="5" spans="3:11" ht="8" customHeight="1">
      <c r="C5" s="26"/>
      <c r="D5" s="26"/>
      <c r="E5" s="26"/>
      <c r="F5" s="26"/>
      <c r="G5" s="26"/>
      <c r="H5" s="26"/>
      <c r="I5" s="26"/>
      <c r="J5" s="26"/>
      <c r="K5" s="26"/>
    </row>
    <row r="6" spans="3:11" ht="8" customHeight="1">
      <c r="C6" s="26"/>
      <c r="D6" s="26"/>
      <c r="E6" s="26"/>
      <c r="F6" s="26"/>
      <c r="G6" s="26"/>
      <c r="H6" s="26"/>
      <c r="I6" s="26"/>
      <c r="J6" s="26"/>
      <c r="K6" s="26"/>
    </row>
    <row r="7" spans="3:11" ht="8" customHeight="1">
      <c r="C7" s="26"/>
      <c r="D7" s="26"/>
      <c r="E7" s="26"/>
      <c r="F7" s="26"/>
      <c r="G7" s="26"/>
      <c r="H7" s="26"/>
      <c r="I7" s="26"/>
      <c r="J7" s="26"/>
      <c r="K7" s="26"/>
    </row>
    <row r="8" spans="3:11" ht="16" customHeight="1">
      <c r="C8" s="32" t="s">
        <v>190</v>
      </c>
      <c r="D8" s="43" t="s">
        <v>17</v>
      </c>
      <c r="E8" s="43" t="s">
        <v>191</v>
      </c>
      <c r="F8" s="43" t="s">
        <v>263</v>
      </c>
      <c r="G8" s="43" t="s">
        <v>130</v>
      </c>
      <c r="H8" s="43" t="s">
        <v>264</v>
      </c>
      <c r="I8" s="43" t="s">
        <v>195</v>
      </c>
      <c r="J8" s="43" t="s">
        <v>194</v>
      </c>
      <c r="K8" s="43" t="s">
        <v>265</v>
      </c>
    </row>
    <row r="9" spans="3:11" ht="14" customHeight="1">
      <c r="C9" s="28" t="str">
        <f>'Peer Benchmarks'!C9</f>
        <v>Diversified electrical supplier</v>
      </c>
      <c r="D9" s="34">
        <f>IF(ISNUMBER('Peer Benchmarks'!D9),'Peer Benchmarks'!D9,"Unavailable")</f>
        <v>27448</v>
      </c>
      <c r="E9" s="34" t="str">
        <f>IF(ISNUMBER('Peer Benchmarks'!E9),'Peer Benchmarks'!E9,"Unavailable")</f>
        <v>Unavailable</v>
      </c>
      <c r="F9" s="40" t="str">
        <f>IF(AND(ISNUMBER(D9),ISNUMBER(E9),D9&lt;&gt;0),E9/D9,"Unavailable")</f>
        <v>Unavailable</v>
      </c>
      <c r="G9" s="34">
        <f>IF(COUNT('Peer Benchmarks'!F9:H9)=3,'Peer Benchmarks'!H9+'Peer Benchmarks'!F9-'Peer Benchmarks'!G9,"Unavailable")</f>
        <v>177293.84237060545</v>
      </c>
      <c r="H9" s="44" t="str">
        <f>IF(AND(ISNUMBER(E9),E9&gt;0,COUNT('Peer Benchmarks'!F9:G9)=2),('Peer Benchmarks'!F9-'Peer Benchmarks'!G9)/E9,"Unavailable")</f>
        <v>Unavailable</v>
      </c>
      <c r="I9" s="45">
        <f>IF(AND(ISNUMBER(G9),ISNUMBER(D9),D9&gt;0),G9/D9,"Unavailable")</f>
        <v>6.4592626920214746</v>
      </c>
      <c r="J9" s="45" t="str">
        <f>IF(AND(ISNUMBER(G9),ISNUMBER(E9),E9&gt;0),G9/E9,"Unavailable")</f>
        <v>Unavailable</v>
      </c>
      <c r="K9" s="34" t="str">
        <f>'Peer Benchmarks'!K9</f>
        <v>2025-12-31</v>
      </c>
    </row>
    <row r="10" spans="3:11" ht="14" customHeight="1">
      <c r="C10" s="28" t="str">
        <f>'Peer Benchmarks'!C10</f>
        <v>Grid equipment supplier</v>
      </c>
      <c r="D10" s="34">
        <f>IF(ISNUMBER('Peer Benchmarks'!D10),'Peer Benchmarks'!D10,"Unavailable")</f>
        <v>5844.6</v>
      </c>
      <c r="E10" s="34">
        <f>IF(ISNUMBER('Peer Benchmarks'!E10),'Peer Benchmarks'!E10,"Unavailable")</f>
        <v>1414.8999999999999</v>
      </c>
      <c r="F10" s="40">
        <f>IF(AND(ISNUMBER(D10),ISNUMBER(E10),D10&lt;&gt;0),E10/D10,"Unavailable")</f>
        <v>0.24208671252095948</v>
      </c>
      <c r="G10" s="34">
        <f>IF(COUNT('Peer Benchmarks'!F10:H10)=3,'Peer Benchmarks'!H10+'Peer Benchmarks'!F10-'Peer Benchmarks'!G10,"Unavailable")</f>
        <v>27439.34104821457</v>
      </c>
      <c r="H10" s="44">
        <f>IF(AND(ISNUMBER(E10),E10&gt;0,COUNT('Peer Benchmarks'!F10:G10)=2),('Peer Benchmarks'!F10-'Peer Benchmarks'!G10)/E10,"Unavailable")</f>
        <v>1.3024948759629658</v>
      </c>
      <c r="I10" s="45">
        <f>IF(AND(ISNUMBER(G10),ISNUMBER(D10),D10&gt;0),G10/D10,"Unavailable")</f>
        <v>4.6948193286477382</v>
      </c>
      <c r="J10" s="45">
        <f>IF(AND(ISNUMBER(G10),ISNUMBER(E10),E10&gt;0),G10/E10,"Unavailable")</f>
        <v>19.393130997395275</v>
      </c>
      <c r="K10" s="34" t="str">
        <f>'Peer Benchmarks'!K10</f>
        <v>2025-12-31</v>
      </c>
    </row>
    <row r="11" spans="3:11" ht="14" customHeight="1">
      <c r="C11" s="28" t="str">
        <f>'Peer Benchmarks'!C11</f>
        <v>Electrical enclosure supplier</v>
      </c>
      <c r="D11" s="34">
        <f>IF(ISNUMBER('Peer Benchmarks'!D11),'Peer Benchmarks'!D11,"Unavailable")</f>
        <v>3893.1</v>
      </c>
      <c r="E11" s="34" t="str">
        <f>IF(ISNUMBER('Peer Benchmarks'!E11),'Peer Benchmarks'!E11,"Unavailable")</f>
        <v>Unavailable</v>
      </c>
      <c r="F11" s="40" t="str">
        <f>IF(AND(ISNUMBER(D11),ISNUMBER(E11),D11&lt;&gt;0),E11/D11,"Unavailable")</f>
        <v>Unavailable</v>
      </c>
      <c r="G11" s="34" t="str">
        <f>IF(COUNT('Peer Benchmarks'!F11:H11)=3,'Peer Benchmarks'!H11+'Peer Benchmarks'!F11-'Peer Benchmarks'!G11,"Unavailable")</f>
        <v>Unavailable</v>
      </c>
      <c r="H11" s="44" t="str">
        <f>IF(AND(ISNUMBER(E11),E11&gt;0,COUNT('Peer Benchmarks'!F11:G11)=2),('Peer Benchmarks'!F11-'Peer Benchmarks'!G11)/E11,"Unavailable")</f>
        <v>Unavailable</v>
      </c>
      <c r="I11" s="45" t="str">
        <f>IF(AND(ISNUMBER(G11),ISNUMBER(D11),D11&gt;0),G11/D11,"Unavailable")</f>
        <v>Unavailable</v>
      </c>
      <c r="J11" s="45" t="str">
        <f>IF(AND(ISNUMBER(G11),ISNUMBER(E11),E11&gt;0),G11/E11,"Unavailable")</f>
        <v>Unavailable</v>
      </c>
      <c r="K11" s="34" t="str">
        <f>'Peer Benchmarks'!K11</f>
        <v>2025-12-31</v>
      </c>
    </row>
    <row r="12" spans="3:11" ht="8" customHeight="1">
      <c r="C12" s="26"/>
      <c r="D12" s="27"/>
      <c r="E12" s="27"/>
      <c r="F12" s="27"/>
      <c r="G12" s="27"/>
      <c r="H12" s="46"/>
      <c r="I12" s="46"/>
      <c r="J12" s="46"/>
      <c r="K12" s="27"/>
    </row>
    <row r="13" spans="3:11" ht="8" customHeight="1">
      <c r="C13" s="26"/>
      <c r="D13" s="27"/>
      <c r="E13" s="27"/>
      <c r="F13" s="27"/>
      <c r="G13" s="27"/>
      <c r="H13" s="46"/>
      <c r="I13" s="46"/>
      <c r="J13" s="46"/>
      <c r="K13" s="27"/>
    </row>
    <row r="14" spans="3:11" ht="14" customHeight="1">
      <c r="C14" s="26" t="s">
        <v>266</v>
      </c>
      <c r="D14" s="27"/>
      <c r="E14" s="27"/>
      <c r="F14" s="27"/>
      <c r="G14" s="27"/>
      <c r="H14" s="46"/>
      <c r="I14" s="45">
        <f>IF(COUNT(I9:I11)&gt;0,MIN(I9:I11),"Unavailable")</f>
        <v>4.6948193286477382</v>
      </c>
      <c r="J14" s="45">
        <f>IF(COUNT(J9:J11)&gt;0,MIN(J9:J11),"Unavailable")</f>
        <v>19.393130997395275</v>
      </c>
      <c r="K14" s="27"/>
    </row>
    <row r="15" spans="3:11" ht="14" customHeight="1">
      <c r="C15" s="26" t="s">
        <v>267</v>
      </c>
      <c r="D15" s="27"/>
      <c r="E15" s="27"/>
      <c r="F15" s="27"/>
      <c r="G15" s="27"/>
      <c r="H15" s="46"/>
      <c r="I15" s="45">
        <f>IF(COUNT(I9:I11)&gt;0,MEDIAN(I9:I11),"Unavailable")</f>
        <v>5.5770410103346064</v>
      </c>
      <c r="J15" s="45">
        <f>IF(COUNT(J9:J11)&gt;0,MEDIAN(J9:J11),"Unavailable")</f>
        <v>19.393130997395275</v>
      </c>
      <c r="K15" s="27"/>
    </row>
    <row r="16" spans="3:11" ht="14" customHeight="1">
      <c r="C16" s="26" t="s">
        <v>268</v>
      </c>
      <c r="D16" s="27"/>
      <c r="E16" s="27"/>
      <c r="F16" s="27"/>
      <c r="G16" s="27"/>
      <c r="H16" s="46"/>
      <c r="I16" s="45">
        <f>IF(COUNT(I9:I11)&gt;0,MAX(I9:I11),"Unavailable")</f>
        <v>6.4592626920214746</v>
      </c>
      <c r="J16" s="45">
        <f>IF(COUNT(J9:J11)&gt;0,MAX(J9:J11),"Unavailable")</f>
        <v>19.393130997395275</v>
      </c>
      <c r="K16" s="27"/>
    </row>
    <row r="17" spans="3:11" ht="8" customHeight="1">
      <c r="C17" s="26"/>
      <c r="D17" s="27"/>
      <c r="E17" s="27"/>
      <c r="F17" s="27"/>
      <c r="G17" s="27"/>
      <c r="H17" s="27"/>
      <c r="I17" s="27"/>
      <c r="J17" s="27"/>
      <c r="K17" s="27"/>
    </row>
    <row r="18" spans="3:11" ht="8" customHeight="1">
      <c r="C18" s="26"/>
      <c r="D18" s="27"/>
      <c r="E18" s="27"/>
      <c r="F18" s="27"/>
      <c r="G18" s="27"/>
      <c r="H18" s="27"/>
      <c r="I18" s="27"/>
      <c r="J18" s="27"/>
      <c r="K18" s="27"/>
    </row>
    <row r="19" spans="3:11" ht="8" customHeight="1">
      <c r="C19" s="26"/>
      <c r="D19" s="27"/>
      <c r="E19" s="27"/>
      <c r="F19" s="27"/>
      <c r="G19" s="27"/>
      <c r="H19" s="27"/>
      <c r="I19" s="27"/>
      <c r="J19" s="27"/>
      <c r="K19" s="27"/>
    </row>
    <row r="20" spans="3:11" ht="16" customHeight="1">
      <c r="C20" s="32" t="s">
        <v>269</v>
      </c>
      <c r="D20" s="33"/>
      <c r="E20" s="33"/>
      <c r="F20" s="33"/>
      <c r="G20" s="33"/>
      <c r="H20" s="33"/>
      <c r="I20" s="33"/>
      <c r="J20" s="33"/>
      <c r="K20" s="33"/>
    </row>
    <row r="21" spans="3:11" ht="16" customHeight="1">
      <c r="C21" s="26" t="s">
        <v>270</v>
      </c>
      <c r="D21" s="27" t="s">
        <v>266</v>
      </c>
      <c r="E21" s="27" t="s">
        <v>268</v>
      </c>
      <c r="F21" s="27" t="s">
        <v>271</v>
      </c>
      <c r="G21" s="27"/>
      <c r="H21" s="27"/>
      <c r="I21" s="27"/>
      <c r="J21" s="27"/>
      <c r="K21" s="27"/>
    </row>
    <row r="22" spans="3:11" ht="14" customHeight="1">
      <c r="C22" s="26" t="s">
        <v>272</v>
      </c>
      <c r="D22" s="34">
        <f>MAX(0,MIN(Valuation!D34:G38)-Valuation!D19+Valuation!D20)/Valuation!D22</f>
        <v>79.860168504353439</v>
      </c>
      <c r="E22" s="34">
        <f>MAX(0,MAX(Valuation!D34:G38)-Valuation!D19+Valuation!D20)/Valuation!D22</f>
        <v>138.55584556204411</v>
      </c>
      <c r="F22" s="35">
        <f>IF(COUNT(D22:E22)=2,E22-D22,"Unavailable")</f>
        <v>58.695677057690673</v>
      </c>
      <c r="G22" s="27"/>
      <c r="H22" s="27"/>
      <c r="I22" s="27"/>
      <c r="J22" s="27"/>
      <c r="K22" s="27"/>
    </row>
    <row r="23" spans="3:11" ht="14" customHeight="1">
      <c r="C23" s="26" t="s">
        <v>273</v>
      </c>
      <c r="D23" s="34">
        <f>IF(ISNUMBER(I14),MAX(0,I14*History!E9-Valuation!D19+Valuation!D20)/Valuation!D22,"Unavailable")</f>
        <v>154.67790000653298</v>
      </c>
      <c r="E23" s="34">
        <f>IF(ISNUMBER(I16),MAX(0,I16*History!E9-Valuation!D19+Valuation!D20)/Valuation!D22,"Unavailable")</f>
        <v>208.16045386011729</v>
      </c>
      <c r="F23" s="35">
        <f>IF(COUNT(D23:E23)=2,E23-D23,"Unavailable")</f>
        <v>53.482553853584307</v>
      </c>
      <c r="G23" s="27"/>
      <c r="H23" s="27"/>
      <c r="I23" s="27"/>
      <c r="J23" s="27"/>
      <c r="K23" s="27"/>
    </row>
    <row r="24" spans="3:11" ht="14" customHeight="1">
      <c r="C24" s="26" t="s">
        <v>274</v>
      </c>
      <c r="D24" s="34">
        <f>IF(AND(ISNUMBER(J14),Forecast!E11&gt;0),MAX(0,J14*Forecast!E11-Valuation!D19+Valuation!D20)/Valuation!D22,"Unavailable")</f>
        <v>132.20638590763502</v>
      </c>
      <c r="E24" s="34">
        <f>IF(AND(ISNUMBER(J16),Forecast!E11&gt;0),MAX(0,J16*Forecast!E11-Valuation!D19+Valuation!D20)/Valuation!D22,"Unavailable")</f>
        <v>132.20638590763502</v>
      </c>
      <c r="F24" s="35">
        <f>IF(COUNT(D24:E24)=2,E24-D24,"Unavailable")</f>
        <v>0</v>
      </c>
      <c r="G24" s="27"/>
      <c r="H24" s="27"/>
      <c r="I24" s="27"/>
      <c r="J24" s="27"/>
      <c r="K24" s="27"/>
    </row>
    <row r="25" spans="3:11" ht="8" customHeight="1">
      <c r="C25" s="26"/>
      <c r="D25" s="27"/>
      <c r="E25" s="27"/>
      <c r="F25" s="27"/>
      <c r="G25" s="27"/>
      <c r="H25" s="27"/>
      <c r="I25" s="27"/>
      <c r="J25" s="27"/>
      <c r="K25" s="27"/>
    </row>
    <row r="26" spans="3:11" ht="8" customHeight="1">
      <c r="C26" s="26"/>
      <c r="D26" s="27"/>
      <c r="E26" s="27"/>
      <c r="F26" s="27"/>
      <c r="G26" s="27"/>
      <c r="H26" s="27"/>
      <c r="I26" s="27"/>
      <c r="J26" s="27"/>
      <c r="K26" s="27"/>
    </row>
    <row r="27" spans="3:11" ht="8" customHeight="1">
      <c r="C27" s="26"/>
      <c r="D27" s="27"/>
      <c r="E27" s="27"/>
      <c r="F27" s="27"/>
      <c r="G27" s="27"/>
      <c r="H27" s="27"/>
      <c r="I27" s="27"/>
      <c r="J27" s="27"/>
      <c r="K27" s="27"/>
    </row>
    <row r="28" spans="3:11" ht="24" customHeight="1">
      <c r="C28" s="55" t="s">
        <v>275</v>
      </c>
      <c r="D28" s="56"/>
      <c r="E28" s="56"/>
      <c r="F28" s="56"/>
      <c r="G28" s="56"/>
      <c r="H28" s="56"/>
      <c r="I28" s="56"/>
      <c r="J28" s="56"/>
      <c r="K28" s="56"/>
    </row>
    <row r="29" spans="3:11" ht="8" customHeight="1">
      <c r="C29" s="26"/>
      <c r="D29" s="27"/>
      <c r="E29" s="27"/>
      <c r="F29" s="27"/>
      <c r="G29" s="27"/>
      <c r="H29" s="27"/>
      <c r="I29" s="27"/>
      <c r="J29" s="27"/>
      <c r="K29" s="27"/>
    </row>
    <row r="30" spans="3:11" ht="8" customHeight="1">
      <c r="C30" s="26"/>
      <c r="D30" s="27"/>
      <c r="E30" s="27"/>
      <c r="F30" s="27"/>
      <c r="G30" s="27"/>
      <c r="H30" s="27"/>
      <c r="I30" s="27"/>
      <c r="J30" s="27"/>
      <c r="K30" s="27"/>
    </row>
    <row r="31" spans="3:11" ht="24" customHeight="1">
      <c r="C31" s="55" t="s">
        <v>276</v>
      </c>
      <c r="D31" s="56"/>
      <c r="E31" s="56"/>
      <c r="F31" s="56"/>
      <c r="G31" s="56"/>
      <c r="H31" s="56"/>
      <c r="I31" s="56"/>
      <c r="J31" s="56"/>
      <c r="K31" s="56"/>
    </row>
    <row r="32" spans="3:11" ht="8" customHeight="1">
      <c r="C32" s="26"/>
      <c r="D32" s="27"/>
      <c r="E32" s="27"/>
      <c r="F32" s="27"/>
      <c r="G32" s="27"/>
      <c r="H32" s="27"/>
      <c r="I32" s="27"/>
      <c r="J32" s="27"/>
      <c r="K32" s="27"/>
    </row>
    <row r="33" spans="3:11" ht="8" customHeight="1">
      <c r="C33" s="26"/>
      <c r="D33" s="27"/>
      <c r="E33" s="27"/>
      <c r="F33" s="27"/>
      <c r="G33" s="27"/>
      <c r="H33" s="27"/>
      <c r="I33" s="27"/>
      <c r="J33" s="27"/>
      <c r="K33" s="27"/>
    </row>
    <row r="34" spans="3:11" ht="24" customHeight="1">
      <c r="C34" s="55" t="s">
        <v>277</v>
      </c>
      <c r="D34" s="56"/>
      <c r="E34" s="56"/>
      <c r="F34" s="56"/>
      <c r="G34" s="56"/>
      <c r="H34" s="56"/>
      <c r="I34" s="56"/>
      <c r="J34" s="56"/>
      <c r="K34" s="56"/>
    </row>
    <row r="35" spans="3:11" ht="8" customHeight="1">
      <c r="C35" s="26"/>
      <c r="D35" s="27"/>
      <c r="E35" s="27"/>
      <c r="F35" s="27"/>
      <c r="G35" s="27"/>
      <c r="H35" s="27"/>
      <c r="I35" s="27"/>
      <c r="J35" s="27"/>
      <c r="K35" s="27"/>
    </row>
    <row r="36" spans="3:11" ht="8" customHeight="1">
      <c r="C36" s="26"/>
      <c r="D36" s="27"/>
      <c r="E36" s="27"/>
      <c r="F36" s="27"/>
      <c r="G36" s="27"/>
      <c r="H36" s="27"/>
      <c r="I36" s="27"/>
      <c r="J36" s="27"/>
      <c r="K36" s="27"/>
    </row>
    <row r="37" spans="3:11" ht="8" customHeight="1">
      <c r="C37" s="26"/>
      <c r="D37" s="27"/>
      <c r="E37" s="27"/>
      <c r="F37" s="27"/>
      <c r="G37" s="27"/>
      <c r="H37" s="27"/>
      <c r="I37" s="27"/>
      <c r="J37" s="27"/>
      <c r="K37" s="27"/>
    </row>
    <row r="38" spans="3:11" ht="8" customHeight="1">
      <c r="C38" s="26"/>
      <c r="D38" s="27"/>
      <c r="E38" s="27"/>
      <c r="F38" s="27"/>
      <c r="G38" s="27"/>
      <c r="H38" s="27"/>
      <c r="I38" s="27"/>
      <c r="J38" s="27"/>
      <c r="K38" s="27"/>
    </row>
    <row r="39" spans="3:11" ht="8" customHeight="1">
      <c r="C39" s="26"/>
      <c r="D39" s="27"/>
      <c r="E39" s="27"/>
      <c r="F39" s="27"/>
      <c r="G39" s="27"/>
      <c r="H39" s="27"/>
      <c r="I39" s="27"/>
      <c r="J39" s="27"/>
      <c r="K39" s="27"/>
    </row>
    <row r="40" spans="3:11" ht="8" customHeight="1">
      <c r="C40" s="26"/>
      <c r="D40" s="27"/>
      <c r="E40" s="27"/>
      <c r="F40" s="27"/>
      <c r="G40" s="27"/>
      <c r="H40" s="27"/>
      <c r="I40" s="27"/>
      <c r="J40" s="27"/>
      <c r="K40" s="27"/>
    </row>
    <row r="41" spans="3:11" ht="8" customHeight="1">
      <c r="C41" s="26"/>
      <c r="D41" s="27"/>
      <c r="E41" s="27"/>
      <c r="F41" s="27"/>
      <c r="G41" s="27"/>
      <c r="H41" s="27"/>
      <c r="I41" s="27"/>
      <c r="J41" s="27"/>
      <c r="K41" s="27"/>
    </row>
  </sheetData>
  <mergeCells count="6">
    <mergeCell ref="C2:K2"/>
    <mergeCell ref="C3:K3"/>
    <mergeCell ref="C28:K28"/>
    <mergeCell ref="C31:K31"/>
    <mergeCell ref="C34:K34"/>
    <mergeCell ref="C4:K4"/>
  </mergeCells>
  <pageMargins left="0.3888888888888889" right="0.3888888888888889" top="0.3888888888888889" bottom="0.3888888888888889" header="0.3" footer="0.3"/>
  <pageSetup paperSize="9" scale="78" fitToHeight="1" orientation="landscape" r:id="rId1" fitToWidth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64F6-F05A-4C2A-A2FC-CF4C313C9728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 t="s">
        <v>21</v>
      </c>
      <c r="D4" s="9">
        <v>1</v>
      </c>
      <c r="E4" s="2"/>
      <c r="F4" s="8" t="str">
        <f>CHOOSE(D4,"Base","Upside","Downside")</f>
        <v>Base</v>
      </c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2" t="s">
        <v>25</v>
      </c>
      <c r="D10" s="12"/>
      <c r="E10" s="12"/>
      <c r="F10" s="13">
        <f t="shared" ref="F10:K10" si="0">INDEX(F11:F13,$D$4)</f>
        <v>0.14000000000000001</v>
      </c>
      <c r="G10" s="13">
        <f t="shared" si="0"/>
        <v>0.25</v>
      </c>
      <c r="H10" s="13">
        <f t="shared" si="0"/>
        <v>0.21</v>
      </c>
      <c r="I10" s="13">
        <f t="shared" si="0"/>
        <v>0.16</v>
      </c>
      <c r="J10" s="13">
        <f t="shared" si="0"/>
        <v>0.11</v>
      </c>
      <c r="K10" s="13">
        <f t="shared" si="0"/>
        <v>7.0000000000000007E-2</v>
      </c>
    </row>
    <row r="11" spans="3:11" ht="21" customHeight="1">
      <c r="C11" s="2" t="s">
        <v>26</v>
      </c>
      <c r="D11" s="12"/>
      <c r="E11" s="12"/>
      <c r="F11" s="14">
        <v>0.14000000000000001</v>
      </c>
      <c r="G11" s="14">
        <v>0.25</v>
      </c>
      <c r="H11" s="14">
        <v>0.21</v>
      </c>
      <c r="I11" s="14">
        <v>0.16</v>
      </c>
      <c r="J11" s="14">
        <v>0.11</v>
      </c>
      <c r="K11" s="14">
        <v>7.0000000000000007E-2</v>
      </c>
    </row>
    <row r="12" spans="3:11" ht="21" customHeight="1">
      <c r="C12" s="2" t="s">
        <v>27</v>
      </c>
      <c r="D12" s="12"/>
      <c r="E12" s="12"/>
      <c r="F12" s="14">
        <v>0.19</v>
      </c>
      <c r="G12" s="14">
        <v>0.3</v>
      </c>
      <c r="H12" s="14">
        <v>0.26</v>
      </c>
      <c r="I12" s="14">
        <v>0.21000000000000002</v>
      </c>
      <c r="J12" s="14">
        <v>0.16</v>
      </c>
      <c r="K12" s="14">
        <v>0.12000000000000001</v>
      </c>
    </row>
    <row r="13" spans="3:11" ht="21" customHeight="1">
      <c r="C13" s="2" t="s">
        <v>28</v>
      </c>
      <c r="D13" s="12"/>
      <c r="E13" s="12"/>
      <c r="F13" s="14">
        <v>6.0000000000000012E-2</v>
      </c>
      <c r="G13" s="14">
        <v>0.16999999999999998</v>
      </c>
      <c r="H13" s="14">
        <v>0.13</v>
      </c>
      <c r="I13" s="14">
        <v>0.08</v>
      </c>
      <c r="J13" s="14">
        <v>0.03</v>
      </c>
      <c r="K13" s="14">
        <v>-9.999999999999995E-3</v>
      </c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29</v>
      </c>
      <c r="D15" s="12"/>
      <c r="E15" s="12"/>
      <c r="F15" s="13">
        <f t="shared" ref="F15:K15" si="1">INDEX(F16:F18,$D$4)</f>
        <v>0.22</v>
      </c>
      <c r="G15" s="13">
        <f t="shared" si="1"/>
        <v>0.22500000000000001</v>
      </c>
      <c r="H15" s="13">
        <f t="shared" si="1"/>
        <v>0.23</v>
      </c>
      <c r="I15" s="13">
        <f t="shared" si="1"/>
        <v>0.22500000000000001</v>
      </c>
      <c r="J15" s="13">
        <f t="shared" si="1"/>
        <v>0.215</v>
      </c>
      <c r="K15" s="13">
        <f t="shared" si="1"/>
        <v>0.20499999999999999</v>
      </c>
    </row>
    <row r="16" spans="3:11" ht="21" customHeight="1">
      <c r="C16" s="2" t="s">
        <v>26</v>
      </c>
      <c r="D16" s="12"/>
      <c r="E16" s="12"/>
      <c r="F16" s="14">
        <v>0.22</v>
      </c>
      <c r="G16" s="14">
        <v>0.22500000000000001</v>
      </c>
      <c r="H16" s="14">
        <v>0.23</v>
      </c>
      <c r="I16" s="14">
        <v>0.22500000000000001</v>
      </c>
      <c r="J16" s="14">
        <v>0.215</v>
      </c>
      <c r="K16" s="14">
        <v>0.20499999999999999</v>
      </c>
    </row>
    <row r="17" spans="3:11" ht="21" customHeight="1">
      <c r="C17" s="2" t="s">
        <v>27</v>
      </c>
      <c r="D17" s="12"/>
      <c r="E17" s="12"/>
      <c r="F17" s="14">
        <v>0.245</v>
      </c>
      <c r="G17" s="14">
        <v>0.25</v>
      </c>
      <c r="H17" s="14">
        <v>0.255</v>
      </c>
      <c r="I17" s="14">
        <v>0.25</v>
      </c>
      <c r="J17" s="14">
        <v>0.24</v>
      </c>
      <c r="K17" s="14">
        <v>0.22999999999999998</v>
      </c>
    </row>
    <row r="18" spans="3:11" ht="21" customHeight="1">
      <c r="C18" s="2" t="s">
        <v>28</v>
      </c>
      <c r="D18" s="12"/>
      <c r="E18" s="12"/>
      <c r="F18" s="14">
        <v>0.18</v>
      </c>
      <c r="G18" s="14">
        <v>0.185</v>
      </c>
      <c r="H18" s="14">
        <v>0.19</v>
      </c>
      <c r="I18" s="14">
        <v>0.185</v>
      </c>
      <c r="J18" s="14">
        <v>0.17499999999999999</v>
      </c>
      <c r="K18" s="14">
        <v>0.16499999999999998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30</v>
      </c>
      <c r="D20" s="12"/>
      <c r="E20" s="12"/>
      <c r="F20" s="13">
        <f t="shared" ref="F20:K20" si="2">INDEX(F21:F23,$D$4)</f>
        <v>3.5000000000000003E-2</v>
      </c>
      <c r="G20" s="13">
        <f t="shared" si="2"/>
        <v>3.5000000000000003E-2</v>
      </c>
      <c r="H20" s="13">
        <f t="shared" si="2"/>
        <v>3.5000000000000003E-2</v>
      </c>
      <c r="I20" s="13">
        <f t="shared" si="2"/>
        <v>3.5000000000000003E-2</v>
      </c>
      <c r="J20" s="13">
        <f t="shared" si="2"/>
        <v>3.5000000000000003E-2</v>
      </c>
      <c r="K20" s="13">
        <f t="shared" si="2"/>
        <v>3.5000000000000003E-2</v>
      </c>
    </row>
    <row r="21" spans="3:11" ht="21" customHeight="1">
      <c r="C21" s="2" t="s">
        <v>26</v>
      </c>
      <c r="D21" s="12"/>
      <c r="E21" s="12"/>
      <c r="F21" s="14">
        <v>3.5000000000000003E-2</v>
      </c>
      <c r="G21" s="14">
        <v>3.5000000000000003E-2</v>
      </c>
      <c r="H21" s="14">
        <v>3.5000000000000003E-2</v>
      </c>
      <c r="I21" s="14">
        <v>3.5000000000000003E-2</v>
      </c>
      <c r="J21" s="14">
        <v>3.5000000000000003E-2</v>
      </c>
      <c r="K21" s="14">
        <v>3.5000000000000003E-2</v>
      </c>
    </row>
    <row r="22" spans="3:11" ht="21" customHeight="1">
      <c r="C22" s="2" t="s">
        <v>27</v>
      </c>
      <c r="D22" s="12"/>
      <c r="E22" s="12"/>
      <c r="F22" s="14">
        <v>3.1500000000000007E-2</v>
      </c>
      <c r="G22" s="14">
        <v>3.1500000000000007E-2</v>
      </c>
      <c r="H22" s="14">
        <v>3.1500000000000007E-2</v>
      </c>
      <c r="I22" s="14">
        <v>3.1500000000000007E-2</v>
      </c>
      <c r="J22" s="14">
        <v>3.1500000000000007E-2</v>
      </c>
      <c r="K22" s="14">
        <v>3.1500000000000007E-2</v>
      </c>
    </row>
    <row r="23" spans="3:11" ht="21" customHeight="1">
      <c r="C23" s="2" t="s">
        <v>28</v>
      </c>
      <c r="D23" s="12"/>
      <c r="E23" s="12"/>
      <c r="F23" s="14">
        <v>4.3750000000000004E-2</v>
      </c>
      <c r="G23" s="14">
        <v>4.3750000000000004E-2</v>
      </c>
      <c r="H23" s="14">
        <v>4.3750000000000004E-2</v>
      </c>
      <c r="I23" s="14">
        <v>4.3750000000000004E-2</v>
      </c>
      <c r="J23" s="14">
        <v>4.3750000000000004E-2</v>
      </c>
      <c r="K23" s="14">
        <v>4.3750000000000004E-2</v>
      </c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31</v>
      </c>
      <c r="D25" s="12"/>
      <c r="E25" s="12"/>
      <c r="F25" s="13">
        <f t="shared" ref="F25:K25" si="3">INDEX(F26:F28,$D$4)</f>
        <v>1.4E-2</v>
      </c>
      <c r="G25" s="13">
        <f t="shared" si="3"/>
        <v>1.4E-2</v>
      </c>
      <c r="H25" s="13">
        <f t="shared" si="3"/>
        <v>1.4E-2</v>
      </c>
      <c r="I25" s="13">
        <f t="shared" si="3"/>
        <v>1.4E-2</v>
      </c>
      <c r="J25" s="13">
        <f t="shared" si="3"/>
        <v>1.4E-2</v>
      </c>
      <c r="K25" s="13">
        <f t="shared" si="3"/>
        <v>1.4E-2</v>
      </c>
    </row>
    <row r="26" spans="3:11" ht="21" customHeight="1">
      <c r="C26" s="2" t="s">
        <v>26</v>
      </c>
      <c r="D26" s="12"/>
      <c r="E26" s="12"/>
      <c r="F26" s="14">
        <v>1.4E-2</v>
      </c>
      <c r="G26" s="14">
        <v>1.4E-2</v>
      </c>
      <c r="H26" s="14">
        <v>1.4E-2</v>
      </c>
      <c r="I26" s="14">
        <v>1.4E-2</v>
      </c>
      <c r="J26" s="14">
        <v>1.4E-2</v>
      </c>
      <c r="K26" s="14">
        <v>1.4E-2</v>
      </c>
    </row>
    <row r="27" spans="3:11" ht="21" customHeight="1">
      <c r="C27" s="2" t="s">
        <v>27</v>
      </c>
      <c r="D27" s="12"/>
      <c r="E27" s="12"/>
      <c r="F27" s="14">
        <v>1.4E-2</v>
      </c>
      <c r="G27" s="14">
        <v>1.4E-2</v>
      </c>
      <c r="H27" s="14">
        <v>1.4E-2</v>
      </c>
      <c r="I27" s="14">
        <v>1.4E-2</v>
      </c>
      <c r="J27" s="14">
        <v>1.4E-2</v>
      </c>
      <c r="K27" s="14">
        <v>1.4E-2</v>
      </c>
    </row>
    <row r="28" spans="3:11" ht="21" customHeight="1">
      <c r="C28" s="2" t="s">
        <v>28</v>
      </c>
      <c r="D28" s="12"/>
      <c r="E28" s="12"/>
      <c r="F28" s="14">
        <v>1.4E-2</v>
      </c>
      <c r="G28" s="14">
        <v>1.4E-2</v>
      </c>
      <c r="H28" s="14">
        <v>1.4E-2</v>
      </c>
      <c r="I28" s="14">
        <v>1.4E-2</v>
      </c>
      <c r="J28" s="14">
        <v>1.4E-2</v>
      </c>
      <c r="K28" s="14">
        <v>1.4E-2</v>
      </c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 t="s">
        <v>32</v>
      </c>
      <c r="D30" s="12"/>
      <c r="E30" s="12"/>
      <c r="F30" s="13">
        <f t="shared" ref="F30:K30" si="4">INDEX(F31:F33,$D$4)</f>
        <v>6.0000000000000001E-3</v>
      </c>
      <c r="G30" s="13">
        <f t="shared" si="4"/>
        <v>6.0000000000000001E-3</v>
      </c>
      <c r="H30" s="13">
        <f t="shared" si="4"/>
        <v>6.0000000000000001E-3</v>
      </c>
      <c r="I30" s="13">
        <f t="shared" si="4"/>
        <v>6.0000000000000001E-3</v>
      </c>
      <c r="J30" s="13">
        <f t="shared" si="4"/>
        <v>6.0000000000000001E-3</v>
      </c>
      <c r="K30" s="13">
        <f t="shared" si="4"/>
        <v>6.0000000000000001E-3</v>
      </c>
    </row>
    <row r="31" spans="3:11" ht="21" customHeight="1">
      <c r="C31" s="2" t="s">
        <v>26</v>
      </c>
      <c r="D31" s="12"/>
      <c r="E31" s="12"/>
      <c r="F31" s="14">
        <v>6.0000000000000001E-3</v>
      </c>
      <c r="G31" s="14">
        <v>6.0000000000000001E-3</v>
      </c>
      <c r="H31" s="14">
        <v>6.0000000000000001E-3</v>
      </c>
      <c r="I31" s="14">
        <v>6.0000000000000001E-3</v>
      </c>
      <c r="J31" s="14">
        <v>6.0000000000000001E-3</v>
      </c>
      <c r="K31" s="14">
        <v>6.0000000000000001E-3</v>
      </c>
    </row>
    <row r="32" spans="3:11" ht="21" customHeight="1">
      <c r="C32" s="2" t="s">
        <v>27</v>
      </c>
      <c r="D32" s="12"/>
      <c r="E32" s="12"/>
      <c r="F32" s="14">
        <v>6.0000000000000001E-3</v>
      </c>
      <c r="G32" s="14">
        <v>6.0000000000000001E-3</v>
      </c>
      <c r="H32" s="14">
        <v>6.0000000000000001E-3</v>
      </c>
      <c r="I32" s="14">
        <v>6.0000000000000001E-3</v>
      </c>
      <c r="J32" s="14">
        <v>6.0000000000000001E-3</v>
      </c>
      <c r="K32" s="14">
        <v>6.0000000000000001E-3</v>
      </c>
    </row>
    <row r="33" spans="3:11" ht="21" customHeight="1">
      <c r="C33" s="2" t="s">
        <v>28</v>
      </c>
      <c r="D33" s="12"/>
      <c r="E33" s="12"/>
      <c r="F33" s="14">
        <v>6.0000000000000001E-3</v>
      </c>
      <c r="G33" s="14">
        <v>6.0000000000000001E-3</v>
      </c>
      <c r="H33" s="14">
        <v>6.0000000000000001E-3</v>
      </c>
      <c r="I33" s="14">
        <v>6.0000000000000001E-3</v>
      </c>
      <c r="J33" s="14">
        <v>6.0000000000000001E-3</v>
      </c>
      <c r="K33" s="14">
        <v>6.0000000000000001E-3</v>
      </c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 t="s">
        <v>33</v>
      </c>
      <c r="D35" s="12"/>
      <c r="E35" s="12"/>
      <c r="F35" s="13">
        <f t="shared" ref="F35:K35" si="5">INDEX(F36:F38,$D$4)</f>
        <v>0.19656022993376907</v>
      </c>
      <c r="G35" s="13">
        <f t="shared" si="5"/>
        <v>0.19656022993376907</v>
      </c>
      <c r="H35" s="13">
        <f t="shared" si="5"/>
        <v>0.19656022993376907</v>
      </c>
      <c r="I35" s="13">
        <f t="shared" si="5"/>
        <v>0.19656022993376907</v>
      </c>
      <c r="J35" s="13">
        <f t="shared" si="5"/>
        <v>0.19656022993376907</v>
      </c>
      <c r="K35" s="13">
        <f t="shared" si="5"/>
        <v>0.19656022993376907</v>
      </c>
    </row>
    <row r="36" spans="3:11" ht="21" customHeight="1">
      <c r="C36" s="2" t="s">
        <v>26</v>
      </c>
      <c r="D36" s="12"/>
      <c r="E36" s="12"/>
      <c r="F36" s="14">
        <v>0.19656022993376907</v>
      </c>
      <c r="G36" s="14">
        <v>0.19656022993376907</v>
      </c>
      <c r="H36" s="14">
        <v>0.19656022993376907</v>
      </c>
      <c r="I36" s="14">
        <v>0.19656022993376907</v>
      </c>
      <c r="J36" s="14">
        <v>0.19656022993376907</v>
      </c>
      <c r="K36" s="14">
        <v>0.19656022993376907</v>
      </c>
    </row>
    <row r="37" spans="3:11" ht="21" customHeight="1">
      <c r="C37" s="2" t="s">
        <v>27</v>
      </c>
      <c r="D37" s="12"/>
      <c r="E37" s="12"/>
      <c r="F37" s="14">
        <v>0.19656022993376907</v>
      </c>
      <c r="G37" s="14">
        <v>0.19656022993376907</v>
      </c>
      <c r="H37" s="14">
        <v>0.19656022993376907</v>
      </c>
      <c r="I37" s="14">
        <v>0.19656022993376907</v>
      </c>
      <c r="J37" s="14">
        <v>0.19656022993376907</v>
      </c>
      <c r="K37" s="14">
        <v>0.19656022993376907</v>
      </c>
    </row>
    <row r="38" spans="3:11" ht="21" customHeight="1">
      <c r="C38" s="2" t="s">
        <v>28</v>
      </c>
      <c r="D38" s="12"/>
      <c r="E38" s="12"/>
      <c r="F38" s="14">
        <v>0.24570028741721134</v>
      </c>
      <c r="G38" s="14">
        <v>0.24570028741721134</v>
      </c>
      <c r="H38" s="14">
        <v>0.24570028741721134</v>
      </c>
      <c r="I38" s="14">
        <v>0.24570028741721134</v>
      </c>
      <c r="J38" s="14">
        <v>0.24570028741721134</v>
      </c>
      <c r="K38" s="14">
        <v>0.24570028741721134</v>
      </c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 t="s">
        <v>34</v>
      </c>
      <c r="D40" s="12"/>
      <c r="E40" s="12"/>
      <c r="F40" s="13">
        <f t="shared" ref="F40:K40" si="6">INDEX(F41:F43,$D$4)</f>
        <v>7.6716127057604777E-2</v>
      </c>
      <c r="G40" s="13">
        <f t="shared" si="6"/>
        <v>7.6716127057604777E-2</v>
      </c>
      <c r="H40" s="13">
        <f t="shared" si="6"/>
        <v>7.6716127057604777E-2</v>
      </c>
      <c r="I40" s="13">
        <f t="shared" si="6"/>
        <v>7.6716127057604777E-2</v>
      </c>
      <c r="J40" s="13">
        <f t="shared" si="6"/>
        <v>7.6716127057604777E-2</v>
      </c>
      <c r="K40" s="13">
        <f t="shared" si="6"/>
        <v>7.6716127057604777E-2</v>
      </c>
    </row>
    <row r="41" spans="3:11" ht="21" customHeight="1">
      <c r="C41" s="2" t="s">
        <v>26</v>
      </c>
      <c r="D41" s="12"/>
      <c r="E41" s="12"/>
      <c r="F41" s="14">
        <v>7.6716127057604777E-2</v>
      </c>
      <c r="G41" s="14">
        <v>7.6716127057604777E-2</v>
      </c>
      <c r="H41" s="14">
        <v>7.6716127057604777E-2</v>
      </c>
      <c r="I41" s="14">
        <v>7.6716127057604777E-2</v>
      </c>
      <c r="J41" s="14">
        <v>7.6716127057604777E-2</v>
      </c>
      <c r="K41" s="14">
        <v>7.6716127057604777E-2</v>
      </c>
    </row>
    <row r="42" spans="3:11" ht="21" customHeight="1">
      <c r="C42" s="2" t="s">
        <v>27</v>
      </c>
      <c r="D42" s="12"/>
      <c r="E42" s="12"/>
      <c r="F42" s="14">
        <v>7.6716127057604777E-2</v>
      </c>
      <c r="G42" s="14">
        <v>7.6716127057604777E-2</v>
      </c>
      <c r="H42" s="14">
        <v>7.6716127057604777E-2</v>
      </c>
      <c r="I42" s="14">
        <v>7.6716127057604777E-2</v>
      </c>
      <c r="J42" s="14">
        <v>7.6716127057604777E-2</v>
      </c>
      <c r="K42" s="14">
        <v>7.6716127057604777E-2</v>
      </c>
    </row>
    <row r="43" spans="3:11" ht="21" customHeight="1">
      <c r="C43" s="2" t="s">
        <v>28</v>
      </c>
      <c r="D43" s="12"/>
      <c r="E43" s="12"/>
      <c r="F43" s="14">
        <v>7.6716127057604777E-2</v>
      </c>
      <c r="G43" s="14">
        <v>7.6716127057604777E-2</v>
      </c>
      <c r="H43" s="14">
        <v>7.6716127057604777E-2</v>
      </c>
      <c r="I43" s="14">
        <v>7.6716127057604777E-2</v>
      </c>
      <c r="J43" s="14">
        <v>7.6716127057604777E-2</v>
      </c>
      <c r="K43" s="14">
        <v>7.6716127057604777E-2</v>
      </c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 t="s">
        <v>35</v>
      </c>
      <c r="D45" s="12"/>
      <c r="E45" s="12"/>
      <c r="F45" s="13">
        <f t="shared" ref="F45:K45" si="7">INDEX(F46:F48,$D$4)</f>
        <v>6.0743372832825326E-2</v>
      </c>
      <c r="G45" s="13">
        <f t="shared" si="7"/>
        <v>6.0743372832825326E-2</v>
      </c>
      <c r="H45" s="13">
        <f t="shared" si="7"/>
        <v>6.0743372832825326E-2</v>
      </c>
      <c r="I45" s="13">
        <f t="shared" si="7"/>
        <v>6.0743372832825326E-2</v>
      </c>
      <c r="J45" s="13">
        <f t="shared" si="7"/>
        <v>6.0743372832825326E-2</v>
      </c>
      <c r="K45" s="13">
        <f t="shared" si="7"/>
        <v>6.0743372832825326E-2</v>
      </c>
    </row>
    <row r="46" spans="3:11" ht="21" customHeight="1">
      <c r="C46" s="2" t="s">
        <v>26</v>
      </c>
      <c r="D46" s="12"/>
      <c r="E46" s="12"/>
      <c r="F46" s="14">
        <v>6.0743372832825326E-2</v>
      </c>
      <c r="G46" s="14">
        <v>6.0743372832825326E-2</v>
      </c>
      <c r="H46" s="14">
        <v>6.0743372832825326E-2</v>
      </c>
      <c r="I46" s="14">
        <v>6.0743372832825326E-2</v>
      </c>
      <c r="J46" s="14">
        <v>6.0743372832825326E-2</v>
      </c>
      <c r="K46" s="14">
        <v>6.0743372832825326E-2</v>
      </c>
    </row>
    <row r="47" spans="3:11" ht="21" customHeight="1">
      <c r="C47" s="2" t="s">
        <v>27</v>
      </c>
      <c r="D47" s="12"/>
      <c r="E47" s="12"/>
      <c r="F47" s="14">
        <v>6.0743372832825326E-2</v>
      </c>
      <c r="G47" s="14">
        <v>6.0743372832825326E-2</v>
      </c>
      <c r="H47" s="14">
        <v>6.0743372832825326E-2</v>
      </c>
      <c r="I47" s="14">
        <v>6.0743372832825326E-2</v>
      </c>
      <c r="J47" s="14">
        <v>6.0743372832825326E-2</v>
      </c>
      <c r="K47" s="14">
        <v>6.0743372832825326E-2</v>
      </c>
    </row>
    <row r="48" spans="3:11" ht="21" customHeight="1">
      <c r="C48" s="2" t="s">
        <v>28</v>
      </c>
      <c r="D48" s="12"/>
      <c r="E48" s="12"/>
      <c r="F48" s="14">
        <v>6.0743372832825326E-2</v>
      </c>
      <c r="G48" s="14">
        <v>6.0743372832825326E-2</v>
      </c>
      <c r="H48" s="14">
        <v>6.0743372832825326E-2</v>
      </c>
      <c r="I48" s="14">
        <v>6.0743372832825326E-2</v>
      </c>
      <c r="J48" s="14">
        <v>6.0743372832825326E-2</v>
      </c>
      <c r="K48" s="14">
        <v>6.0743372832825326E-2</v>
      </c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 t="s">
        <v>36</v>
      </c>
      <c r="D50" s="12"/>
      <c r="E50" s="12"/>
      <c r="F50" s="13">
        <f t="shared" ref="F50:K50" si="8">INDEX(F51:F53,$D$4)</f>
        <v>0.26980362540500114</v>
      </c>
      <c r="G50" s="13">
        <f t="shared" si="8"/>
        <v>0.26980362540500114</v>
      </c>
      <c r="H50" s="13">
        <f t="shared" si="8"/>
        <v>0.26980362540500114</v>
      </c>
      <c r="I50" s="13">
        <f t="shared" si="8"/>
        <v>0.26980362540500114</v>
      </c>
      <c r="J50" s="13">
        <f t="shared" si="8"/>
        <v>0.26980362540500114</v>
      </c>
      <c r="K50" s="13">
        <f t="shared" si="8"/>
        <v>0.26980362540500114</v>
      </c>
    </row>
    <row r="51" spans="3:11" ht="21" customHeight="1">
      <c r="C51" s="2" t="s">
        <v>26</v>
      </c>
      <c r="D51" s="12"/>
      <c r="E51" s="12"/>
      <c r="F51" s="14">
        <v>0.26980362540500114</v>
      </c>
      <c r="G51" s="14">
        <v>0.26980362540500114</v>
      </c>
      <c r="H51" s="14">
        <v>0.26980362540500114</v>
      </c>
      <c r="I51" s="14">
        <v>0.26980362540500114</v>
      </c>
      <c r="J51" s="14">
        <v>0.26980362540500114</v>
      </c>
      <c r="K51" s="14">
        <v>0.26980362540500114</v>
      </c>
    </row>
    <row r="52" spans="3:11" ht="21" customHeight="1">
      <c r="C52" s="2" t="s">
        <v>27</v>
      </c>
      <c r="D52" s="12"/>
      <c r="E52" s="12"/>
      <c r="F52" s="14">
        <v>0.26980362540500114</v>
      </c>
      <c r="G52" s="14">
        <v>0.26980362540500114</v>
      </c>
      <c r="H52" s="14">
        <v>0.26980362540500114</v>
      </c>
      <c r="I52" s="14">
        <v>0.26980362540500114</v>
      </c>
      <c r="J52" s="14">
        <v>0.26980362540500114</v>
      </c>
      <c r="K52" s="14">
        <v>0.26980362540500114</v>
      </c>
    </row>
    <row r="53" spans="3:11" ht="21" customHeight="1">
      <c r="C53" s="2" t="s">
        <v>28</v>
      </c>
      <c r="D53" s="12"/>
      <c r="E53" s="12"/>
      <c r="F53" s="14">
        <v>0.26980362540500114</v>
      </c>
      <c r="G53" s="14">
        <v>0.26980362540500114</v>
      </c>
      <c r="H53" s="14">
        <v>0.26980362540500114</v>
      </c>
      <c r="I53" s="14">
        <v>0.26980362540500114</v>
      </c>
      <c r="J53" s="14">
        <v>0.26980362540500114</v>
      </c>
      <c r="K53" s="14">
        <v>0.26980362540500114</v>
      </c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37</v>
      </c>
      <c r="D55" s="12"/>
      <c r="E55" s="12"/>
      <c r="F55" s="13">
        <f t="shared" ref="F55:K55" si="9">INDEX(F56:F58,$D$4)</f>
        <v>8.5000000000000006E-2</v>
      </c>
      <c r="G55" s="13">
        <f t="shared" si="9"/>
        <v>8.5000000000000006E-2</v>
      </c>
      <c r="H55" s="13">
        <f t="shared" si="9"/>
        <v>8.5000000000000006E-2</v>
      </c>
      <c r="I55" s="13">
        <f t="shared" si="9"/>
        <v>8.5000000000000006E-2</v>
      </c>
      <c r="J55" s="13">
        <f t="shared" si="9"/>
        <v>8.5000000000000006E-2</v>
      </c>
      <c r="K55" s="13">
        <f t="shared" si="9"/>
        <v>8.5000000000000006E-2</v>
      </c>
    </row>
    <row r="56" spans="3:11" ht="21" customHeight="1">
      <c r="C56" s="2" t="s">
        <v>26</v>
      </c>
      <c r="D56" s="12"/>
      <c r="E56" s="12"/>
      <c r="F56" s="14">
        <v>8.5000000000000006E-2</v>
      </c>
      <c r="G56" s="14">
        <v>8.5000000000000006E-2</v>
      </c>
      <c r="H56" s="14">
        <v>8.5000000000000006E-2</v>
      </c>
      <c r="I56" s="14">
        <v>8.5000000000000006E-2</v>
      </c>
      <c r="J56" s="14">
        <v>8.5000000000000006E-2</v>
      </c>
      <c r="K56" s="14">
        <v>8.5000000000000006E-2</v>
      </c>
    </row>
    <row r="57" spans="3:11" ht="21" customHeight="1">
      <c r="C57" s="2" t="s">
        <v>27</v>
      </c>
      <c r="D57" s="12"/>
      <c r="E57" s="12"/>
      <c r="F57" s="14">
        <v>7.5000000000000011E-2</v>
      </c>
      <c r="G57" s="14">
        <v>7.5000000000000011E-2</v>
      </c>
      <c r="H57" s="14">
        <v>7.5000000000000011E-2</v>
      </c>
      <c r="I57" s="14">
        <v>7.5000000000000011E-2</v>
      </c>
      <c r="J57" s="14">
        <v>7.5000000000000011E-2</v>
      </c>
      <c r="K57" s="14">
        <v>7.5000000000000011E-2</v>
      </c>
    </row>
    <row r="58" spans="3:11" ht="21" customHeight="1">
      <c r="C58" s="2" t="s">
        <v>28</v>
      </c>
      <c r="D58" s="12"/>
      <c r="E58" s="12"/>
      <c r="F58" s="14">
        <v>0.10500000000000001</v>
      </c>
      <c r="G58" s="14">
        <v>0.10500000000000001</v>
      </c>
      <c r="H58" s="14">
        <v>0.10500000000000001</v>
      </c>
      <c r="I58" s="14">
        <v>0.10500000000000001</v>
      </c>
      <c r="J58" s="14">
        <v>0.10500000000000001</v>
      </c>
      <c r="K58" s="14">
        <v>0.10500000000000001</v>
      </c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 t="s">
        <v>38</v>
      </c>
      <c r="D60" s="12"/>
      <c r="E60" s="12"/>
      <c r="F60" s="13">
        <f t="shared" ref="F60:K60" si="10">INDEX(F61:F63,$D$4)</f>
        <v>0.25</v>
      </c>
      <c r="G60" s="13">
        <f t="shared" si="10"/>
        <v>0.25</v>
      </c>
      <c r="H60" s="13">
        <f t="shared" si="10"/>
        <v>0.25</v>
      </c>
      <c r="I60" s="13">
        <f t="shared" si="10"/>
        <v>0.25</v>
      </c>
      <c r="J60" s="13">
        <f t="shared" si="10"/>
        <v>0.25</v>
      </c>
      <c r="K60" s="13">
        <f t="shared" si="10"/>
        <v>0.25</v>
      </c>
    </row>
    <row r="61" spans="3:11" ht="21" customHeight="1">
      <c r="C61" s="2" t="s">
        <v>26</v>
      </c>
      <c r="D61" s="12"/>
      <c r="E61" s="12"/>
      <c r="F61" s="14">
        <v>0.25</v>
      </c>
      <c r="G61" s="14">
        <v>0.25</v>
      </c>
      <c r="H61" s="14">
        <v>0.25</v>
      </c>
      <c r="I61" s="14">
        <v>0.25</v>
      </c>
      <c r="J61" s="14">
        <v>0.25</v>
      </c>
      <c r="K61" s="14">
        <v>0.25</v>
      </c>
    </row>
    <row r="62" spans="3:11" ht="21" customHeight="1">
      <c r="C62" s="2" t="s">
        <v>27</v>
      </c>
      <c r="D62" s="12"/>
      <c r="E62" s="12"/>
      <c r="F62" s="14">
        <v>0.25</v>
      </c>
      <c r="G62" s="14">
        <v>0.25</v>
      </c>
      <c r="H62" s="14">
        <v>0.25</v>
      </c>
      <c r="I62" s="14">
        <v>0.25</v>
      </c>
      <c r="J62" s="14">
        <v>0.25</v>
      </c>
      <c r="K62" s="14">
        <v>0.25</v>
      </c>
    </row>
    <row r="63" spans="3:11" ht="21" customHeight="1">
      <c r="C63" s="2" t="s">
        <v>28</v>
      </c>
      <c r="D63" s="12"/>
      <c r="E63" s="12"/>
      <c r="F63" s="14">
        <v>0.25</v>
      </c>
      <c r="G63" s="14">
        <v>0.25</v>
      </c>
      <c r="H63" s="14">
        <v>0.25</v>
      </c>
      <c r="I63" s="14">
        <v>0.25</v>
      </c>
      <c r="J63" s="14">
        <v>0.25</v>
      </c>
      <c r="K63" s="14">
        <v>0.25</v>
      </c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 t="s">
        <v>39</v>
      </c>
      <c r="D65" s="12"/>
      <c r="E65" s="12"/>
      <c r="F65" s="13">
        <f t="shared" ref="F65:K65" si="11">INDEX(F66:F68,$D$4)</f>
        <v>0</v>
      </c>
      <c r="G65" s="13">
        <f t="shared" si="11"/>
        <v>0</v>
      </c>
      <c r="H65" s="13">
        <f t="shared" si="11"/>
        <v>0</v>
      </c>
      <c r="I65" s="13">
        <f t="shared" si="11"/>
        <v>0</v>
      </c>
      <c r="J65" s="13">
        <f t="shared" si="11"/>
        <v>0</v>
      </c>
      <c r="K65" s="13">
        <f t="shared" si="11"/>
        <v>0</v>
      </c>
    </row>
    <row r="66" spans="3:11" ht="21" customHeight="1">
      <c r="C66" s="2" t="s">
        <v>26</v>
      </c>
      <c r="D66" s="12"/>
      <c r="E66" s="12"/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3:11" ht="21" customHeight="1">
      <c r="C67" s="2" t="s">
        <v>27</v>
      </c>
      <c r="D67" s="12"/>
      <c r="E67" s="12"/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</row>
    <row r="68" spans="3:11" ht="21" customHeight="1">
      <c r="C68" s="2" t="s">
        <v>28</v>
      </c>
      <c r="D68" s="12"/>
      <c r="E68" s="12"/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 t="s">
        <v>40</v>
      </c>
      <c r="D71" s="14">
        <v>0.115</v>
      </c>
      <c r="E71" s="3"/>
      <c r="F71" s="3"/>
      <c r="G71" s="3"/>
      <c r="H71" s="3"/>
      <c r="I71" s="3"/>
      <c r="J71" s="3"/>
      <c r="K71" s="3"/>
    </row>
    <row r="72" spans="3:11" ht="21" customHeight="1">
      <c r="C72" s="2" t="s">
        <v>41</v>
      </c>
      <c r="D72" s="14">
        <v>2.5000000000000001E-2</v>
      </c>
      <c r="E72" s="3"/>
      <c r="F72" s="3"/>
      <c r="G72" s="3"/>
      <c r="H72" s="3"/>
      <c r="I72" s="3"/>
      <c r="J72" s="3"/>
      <c r="K72" s="3"/>
    </row>
    <row r="73" spans="3:11" ht="21" customHeight="1">
      <c r="C73" s="2" t="s">
        <v>42</v>
      </c>
      <c r="D73" s="10">
        <v>20</v>
      </c>
      <c r="E73" s="3"/>
      <c r="F73" s="3"/>
      <c r="G73" s="3"/>
      <c r="H73" s="3"/>
      <c r="I73" s="3"/>
      <c r="J73" s="3"/>
      <c r="K73" s="3"/>
    </row>
    <row r="74" spans="3:11" ht="21" customHeight="1">
      <c r="C74" s="2" t="s">
        <v>43</v>
      </c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dataValidations count="1">
    <dataValidation type="list" sqref="D4" xr:uid="{00000000-0002-0000-0100-000000000000}">
      <formula1>"1,2,3"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CB6FF-33A2-4A1B-BD33-395A4F41F115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44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</v>
      </c>
      <c r="D9" s="3">
        <v>1012.356</v>
      </c>
      <c r="E9" s="3">
        <v>1104.318</v>
      </c>
      <c r="F9" s="3"/>
      <c r="G9" s="3"/>
      <c r="H9" s="3"/>
      <c r="I9" s="3"/>
      <c r="J9" s="3"/>
      <c r="K9" s="3"/>
    </row>
    <row r="10" spans="3:11" ht="21" customHeight="1">
      <c r="C10" s="2" t="s">
        <v>45</v>
      </c>
      <c r="D10" s="3">
        <v>739.26800000000003</v>
      </c>
      <c r="E10" s="3">
        <v>779.93700000000001</v>
      </c>
      <c r="F10" s="3"/>
      <c r="G10" s="3"/>
      <c r="H10" s="3"/>
      <c r="I10" s="3"/>
      <c r="J10" s="3"/>
      <c r="K10" s="3"/>
    </row>
    <row r="11" spans="3:11" ht="21" customHeight="1">
      <c r="C11" s="2" t="s">
        <v>46</v>
      </c>
      <c r="D11" s="3">
        <v>273.08800000000002</v>
      </c>
      <c r="E11" s="3">
        <v>324.38099999999997</v>
      </c>
      <c r="F11" s="3"/>
      <c r="G11" s="3"/>
      <c r="H11" s="3"/>
      <c r="I11" s="3"/>
      <c r="J11" s="3"/>
      <c r="K11" s="3"/>
    </row>
    <row r="12" spans="3:11" ht="21" customHeight="1">
      <c r="C12" s="2" t="s">
        <v>47</v>
      </c>
      <c r="D12" s="3">
        <v>178.773</v>
      </c>
      <c r="E12" s="3">
        <v>217.86</v>
      </c>
      <c r="F12" s="3"/>
      <c r="G12" s="3"/>
      <c r="H12" s="3"/>
      <c r="I12" s="3"/>
      <c r="J12" s="3"/>
      <c r="K12" s="3"/>
    </row>
    <row r="13" spans="3:11" ht="21" customHeight="1">
      <c r="C13" s="2" t="s">
        <v>48</v>
      </c>
      <c r="D13" s="3">
        <v>149.84800000000001</v>
      </c>
      <c r="E13" s="3">
        <v>180.74700000000001</v>
      </c>
      <c r="F13" s="3"/>
      <c r="G13" s="3"/>
      <c r="H13" s="3"/>
      <c r="I13" s="3"/>
      <c r="J13" s="3"/>
      <c r="K13" s="3"/>
    </row>
    <row r="14" spans="3:11" ht="21" customHeight="1">
      <c r="C14" s="2" t="s">
        <v>49</v>
      </c>
      <c r="D14" s="3">
        <v>108.661</v>
      </c>
      <c r="E14" s="3">
        <v>167.93700000000001</v>
      </c>
      <c r="F14" s="3"/>
      <c r="G14" s="3"/>
      <c r="H14" s="3"/>
      <c r="I14" s="3"/>
      <c r="J14" s="3"/>
      <c r="K14" s="3"/>
    </row>
    <row r="15" spans="3:11" ht="21" customHeight="1">
      <c r="C15" s="2" t="s">
        <v>50</v>
      </c>
      <c r="D15" s="3">
        <v>11.983000000000001</v>
      </c>
      <c r="E15" s="3">
        <v>13.148999999999999</v>
      </c>
      <c r="F15" s="3"/>
      <c r="G15" s="3"/>
      <c r="H15" s="3"/>
      <c r="I15" s="3"/>
      <c r="J15" s="3"/>
      <c r="K15" s="3"/>
    </row>
    <row r="16" spans="3:11" ht="21" customHeight="1">
      <c r="C16" s="2" t="s">
        <v>51</v>
      </c>
      <c r="D16" s="3">
        <v>6.8710000000000004</v>
      </c>
      <c r="E16" s="3">
        <v>7.2649999999999997</v>
      </c>
      <c r="F16" s="3"/>
      <c r="G16" s="3"/>
      <c r="H16" s="3"/>
      <c r="I16" s="3"/>
      <c r="J16" s="3"/>
      <c r="K16" s="3"/>
    </row>
    <row r="17" spans="3:11" ht="21" customHeight="1">
      <c r="C17" s="2" t="s">
        <v>52</v>
      </c>
      <c r="D17" s="3">
        <v>4.7469999999999999</v>
      </c>
      <c r="E17" s="3">
        <v>4.6349999999999998</v>
      </c>
      <c r="F17" s="3"/>
      <c r="G17" s="3"/>
      <c r="H17" s="3"/>
      <c r="I17" s="3"/>
      <c r="J17" s="3"/>
      <c r="K17" s="3"/>
    </row>
    <row r="18" spans="3:11" ht="21" customHeight="1">
      <c r="C18" s="2" t="s">
        <v>53</v>
      </c>
      <c r="D18" s="3">
        <v>0</v>
      </c>
      <c r="E18" s="3">
        <v>0</v>
      </c>
      <c r="F18" s="3"/>
      <c r="G18" s="3"/>
      <c r="H18" s="3"/>
      <c r="I18" s="3"/>
      <c r="J18" s="3"/>
      <c r="K18" s="3"/>
    </row>
    <row r="19" spans="3:11" ht="21" customHeight="1">
      <c r="C19" s="2" t="s">
        <v>54</v>
      </c>
      <c r="D19" s="3">
        <v>315.33100000000002</v>
      </c>
      <c r="E19" s="3">
        <v>450.73899999999998</v>
      </c>
      <c r="F19" s="3"/>
      <c r="G19" s="3"/>
      <c r="H19" s="3"/>
      <c r="I19" s="3"/>
      <c r="J19" s="3"/>
      <c r="K19" s="3"/>
    </row>
    <row r="20" spans="3:11" ht="21" customHeight="1">
      <c r="C20" s="2" t="s">
        <v>55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56</v>
      </c>
      <c r="D21" s="3">
        <v>928.18</v>
      </c>
      <c r="E21" s="3">
        <v>1108.9839999999999</v>
      </c>
      <c r="F21" s="3"/>
      <c r="G21" s="3"/>
      <c r="H21" s="3"/>
      <c r="I21" s="3"/>
      <c r="J21" s="3"/>
      <c r="K21" s="3"/>
    </row>
    <row r="22" spans="3:11" ht="21" customHeight="1">
      <c r="C22" s="2" t="s">
        <v>57</v>
      </c>
      <c r="D22" s="3">
        <v>445.10700000000003</v>
      </c>
      <c r="E22" s="3">
        <v>468.214</v>
      </c>
      <c r="F22" s="3"/>
      <c r="G22" s="3"/>
      <c r="H22" s="3"/>
      <c r="I22" s="3"/>
      <c r="J22" s="3"/>
      <c r="K22" s="3"/>
    </row>
    <row r="23" spans="3:11" ht="21" customHeight="1">
      <c r="C23" s="2" t="s">
        <v>58</v>
      </c>
      <c r="D23" s="3">
        <v>483.07299999999998</v>
      </c>
      <c r="E23" s="3">
        <v>640.77</v>
      </c>
      <c r="F23" s="3"/>
      <c r="G23" s="3"/>
      <c r="H23" s="3"/>
      <c r="I23" s="3"/>
      <c r="J23" s="3"/>
      <c r="K23" s="3"/>
    </row>
    <row r="24" spans="3:11" ht="21" customHeight="1">
      <c r="C24" s="2" t="s">
        <v>59</v>
      </c>
      <c r="D24" s="3">
        <v>214.405</v>
      </c>
      <c r="E24" s="3">
        <v>217.065</v>
      </c>
      <c r="F24" s="3"/>
      <c r="G24" s="3"/>
      <c r="H24" s="3"/>
      <c r="I24" s="3"/>
      <c r="J24" s="3"/>
      <c r="K24" s="3"/>
    </row>
    <row r="25" spans="3:11" ht="21" customHeight="1">
      <c r="C25" s="2" t="s">
        <v>60</v>
      </c>
      <c r="D25" s="3">
        <v>85.873000000000005</v>
      </c>
      <c r="E25" s="3">
        <v>84.718999999999994</v>
      </c>
      <c r="F25" s="3"/>
      <c r="G25" s="3"/>
      <c r="H25" s="3"/>
      <c r="I25" s="3"/>
      <c r="J25" s="3"/>
      <c r="K25" s="3"/>
    </row>
    <row r="26" spans="3:11" ht="21" customHeight="1">
      <c r="C26" s="2" t="s">
        <v>61</v>
      </c>
      <c r="D26" s="3">
        <v>73.632999999999996</v>
      </c>
      <c r="E26" s="3">
        <v>67.08</v>
      </c>
      <c r="F26" s="3"/>
      <c r="G26" s="3"/>
      <c r="H26" s="3"/>
      <c r="I26" s="3"/>
      <c r="J26" s="3"/>
      <c r="K26" s="3"/>
    </row>
    <row r="27" spans="3:11" ht="21" customHeight="1">
      <c r="C27" s="2" t="s">
        <v>62</v>
      </c>
      <c r="D27" s="3">
        <v>287.76299999999998</v>
      </c>
      <c r="E27" s="3">
        <v>297.94900000000001</v>
      </c>
      <c r="F27" s="3"/>
      <c r="G27" s="3"/>
      <c r="H27" s="3"/>
      <c r="I27" s="3"/>
      <c r="J27" s="3"/>
      <c r="K27" s="3"/>
    </row>
    <row r="28" spans="3:11" ht="21" customHeight="1">
      <c r="C28" s="2" t="s">
        <v>63</v>
      </c>
      <c r="D28" s="3">
        <v>0</v>
      </c>
      <c r="E28" s="3">
        <v>0</v>
      </c>
      <c r="F28" s="3"/>
      <c r="G28" s="3"/>
      <c r="H28" s="3"/>
      <c r="I28" s="3"/>
      <c r="J28" s="3"/>
      <c r="K28" s="3"/>
    </row>
    <row r="29" spans="3:11" ht="21" customHeight="1">
      <c r="C29" s="2" t="s">
        <v>64</v>
      </c>
      <c r="D29" s="3">
        <v>0</v>
      </c>
      <c r="E29" s="3">
        <v>0</v>
      </c>
      <c r="F29" s="3"/>
      <c r="G29" s="3"/>
      <c r="H29" s="3"/>
      <c r="I29" s="3"/>
      <c r="J29" s="3"/>
      <c r="K29" s="3"/>
    </row>
    <row r="30" spans="3:11" ht="21" customHeight="1">
      <c r="C30" s="2" t="s">
        <v>65</v>
      </c>
      <c r="D30" s="3">
        <v>0.621</v>
      </c>
      <c r="E30" s="3">
        <v>0.78200000000000003</v>
      </c>
      <c r="F30" s="3"/>
      <c r="G30" s="3"/>
      <c r="H30" s="3"/>
      <c r="I30" s="3"/>
      <c r="J30" s="3"/>
      <c r="K30" s="3"/>
    </row>
    <row r="31" spans="3:11" ht="21" customHeight="1">
      <c r="C31" s="2" t="s">
        <v>66</v>
      </c>
      <c r="D31" s="3">
        <v>0.59499999999999997</v>
      </c>
      <c r="E31" s="3">
        <v>0.88200000000000001</v>
      </c>
      <c r="F31" s="3"/>
      <c r="G31" s="3"/>
      <c r="H31" s="3"/>
      <c r="I31" s="3"/>
      <c r="J31" s="3"/>
      <c r="K31" s="3"/>
    </row>
    <row r="32" spans="3:11" ht="21" customHeight="1">
      <c r="C32" s="2" t="s">
        <v>67</v>
      </c>
      <c r="D32" s="3">
        <v>11.989238</v>
      </c>
      <c r="E32" s="3">
        <v>12.070178</v>
      </c>
      <c r="F32" s="3"/>
      <c r="G32" s="3"/>
      <c r="H32" s="3"/>
      <c r="I32" s="3"/>
      <c r="J32" s="3"/>
      <c r="K32" s="3"/>
    </row>
    <row r="33" spans="3:11" ht="21" customHeight="1">
      <c r="C33" s="2" t="s">
        <v>68</v>
      </c>
      <c r="D33" s="3">
        <v>12.188000000000001</v>
      </c>
      <c r="E33" s="3">
        <v>12.167</v>
      </c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 t="s">
        <v>69</v>
      </c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 t="s">
        <v>70</v>
      </c>
      <c r="D37" s="3" t="s">
        <v>71</v>
      </c>
      <c r="E37" s="3" t="s">
        <v>72</v>
      </c>
      <c r="F37" s="3"/>
      <c r="G37" s="3"/>
      <c r="H37" s="3"/>
      <c r="I37" s="3"/>
      <c r="J37" s="3"/>
      <c r="K37" s="3"/>
    </row>
    <row r="38" spans="3:11" ht="21" customHeight="1">
      <c r="C38" s="2" t="s">
        <v>73</v>
      </c>
      <c r="D38" s="3" t="s">
        <v>74</v>
      </c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75</v>
      </c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F3F5-86A9-49E0-94DC-A6385213D9D2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24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15" t="s">
        <v>17</v>
      </c>
      <c r="D9" s="17">
        <f>History!D9</f>
        <v>1012.356</v>
      </c>
      <c r="E9" s="17">
        <f>History!E9</f>
        <v>1104.318</v>
      </c>
      <c r="F9" s="17">
        <f>'Backlog and Capacity'!F15</f>
        <v>1019.2666589600001</v>
      </c>
      <c r="G9" s="17">
        <f>'Backlog and Capacity'!G15</f>
        <v>1375.6495851846003</v>
      </c>
      <c r="H9" s="17">
        <f>'Backlog and Capacity'!H15</f>
        <v>1621.3364358651966</v>
      </c>
      <c r="I9" s="17">
        <f>'Backlog and Capacity'!I15</f>
        <v>1980.8649557115941</v>
      </c>
      <c r="J9" s="17">
        <f>'Backlog and Capacity'!J15</f>
        <v>2319.779870275227</v>
      </c>
      <c r="K9" s="17">
        <f>'Backlog and Capacity'!K15</f>
        <v>2696.3148381838132</v>
      </c>
    </row>
    <row r="10" spans="3:11" ht="21" customHeight="1">
      <c r="C10" s="2" t="s">
        <v>76</v>
      </c>
      <c r="D10" s="12"/>
      <c r="E10" s="12"/>
      <c r="F10" s="13">
        <f t="shared" ref="F10:K10" si="0">F9/E9-1</f>
        <v>-7.701707392254753E-2</v>
      </c>
      <c r="G10" s="13">
        <f t="shared" si="0"/>
        <v>0.34964640812271086</v>
      </c>
      <c r="H10" s="13">
        <f t="shared" si="0"/>
        <v>0.17859697216978931</v>
      </c>
      <c r="I10" s="13">
        <f t="shared" si="0"/>
        <v>0.2217482515617073</v>
      </c>
      <c r="J10" s="13">
        <f t="shared" si="0"/>
        <v>0.17109440680769827</v>
      </c>
      <c r="K10" s="13">
        <f t="shared" si="0"/>
        <v>0.16231495614448654</v>
      </c>
    </row>
    <row r="11" spans="3:11" ht="21" customHeight="1">
      <c r="C11" s="15" t="s">
        <v>18</v>
      </c>
      <c r="D11" s="19">
        <f>D13+D12</f>
        <v>185.64400000000001</v>
      </c>
      <c r="E11" s="19">
        <f>E13+E12</f>
        <v>225.125</v>
      </c>
      <c r="F11" s="17">
        <f>F9*Assumptions!F15</f>
        <v>224.23866497120002</v>
      </c>
      <c r="G11" s="17">
        <f>G9*Assumptions!G15</f>
        <v>309.52115666653509</v>
      </c>
      <c r="H11" s="17">
        <f>H9*Assumptions!H15</f>
        <v>372.90738024899525</v>
      </c>
      <c r="I11" s="17">
        <f>I9*Assumptions!I15</f>
        <v>445.69461503510871</v>
      </c>
      <c r="J11" s="17">
        <f>J9*Assumptions!J15</f>
        <v>498.75267210917383</v>
      </c>
      <c r="K11" s="17">
        <f>K9*Assumptions!K15</f>
        <v>552.7445418276817</v>
      </c>
    </row>
    <row r="12" spans="3:11" ht="21" customHeight="1">
      <c r="C12" s="2" t="s">
        <v>77</v>
      </c>
      <c r="D12" s="18">
        <f>History!D16</f>
        <v>6.8710000000000004</v>
      </c>
      <c r="E12" s="18">
        <f>History!E16</f>
        <v>7.2649999999999997</v>
      </c>
      <c r="F12" s="18">
        <f>F9*Assumptions!F25</f>
        <v>14.269733225440001</v>
      </c>
      <c r="G12" s="18">
        <f>G9*Assumptions!G25</f>
        <v>19.259094192584403</v>
      </c>
      <c r="H12" s="18">
        <f>H9*Assumptions!H25</f>
        <v>22.698710102112752</v>
      </c>
      <c r="I12" s="18">
        <f>I9*Assumptions!I25</f>
        <v>27.732109379962317</v>
      </c>
      <c r="J12" s="18">
        <f>J9*Assumptions!J25</f>
        <v>32.476918183853179</v>
      </c>
      <c r="K12" s="18">
        <f>K9*Assumptions!K25</f>
        <v>37.748407734573384</v>
      </c>
    </row>
    <row r="13" spans="3:11" ht="21" customHeight="1">
      <c r="C13" s="15" t="s">
        <v>47</v>
      </c>
      <c r="D13" s="17">
        <f>History!D12</f>
        <v>178.773</v>
      </c>
      <c r="E13" s="17">
        <f>History!E12</f>
        <v>217.86</v>
      </c>
      <c r="F13" s="19">
        <f t="shared" ref="F13:K13" si="1">F11-F12</f>
        <v>209.96893174576002</v>
      </c>
      <c r="G13" s="19">
        <f t="shared" si="1"/>
        <v>290.26206247395066</v>
      </c>
      <c r="H13" s="19">
        <f t="shared" si="1"/>
        <v>350.20867014688253</v>
      </c>
      <c r="I13" s="19">
        <f t="shared" si="1"/>
        <v>417.9625056551464</v>
      </c>
      <c r="J13" s="19">
        <f t="shared" si="1"/>
        <v>466.27575392532066</v>
      </c>
      <c r="K13" s="19">
        <f t="shared" si="1"/>
        <v>514.99613409310837</v>
      </c>
    </row>
    <row r="14" spans="3:11" ht="21" customHeight="1">
      <c r="C14" s="2" t="s">
        <v>78</v>
      </c>
      <c r="D14" s="3"/>
      <c r="E14" s="3"/>
      <c r="F14" s="18">
        <f>'Debt and Cash'!F13</f>
        <v>0</v>
      </c>
      <c r="G14" s="18">
        <f>'Debt and Cash'!G13</f>
        <v>0</v>
      </c>
      <c r="H14" s="18">
        <f>'Debt and Cash'!H13</f>
        <v>0</v>
      </c>
      <c r="I14" s="18">
        <f>'Debt and Cash'!I13</f>
        <v>0</v>
      </c>
      <c r="J14" s="18">
        <f>'Debt and Cash'!J13</f>
        <v>0</v>
      </c>
      <c r="K14" s="18">
        <f>'Debt and Cash'!K13</f>
        <v>0</v>
      </c>
    </row>
    <row r="15" spans="3:11" ht="21" customHeight="1">
      <c r="C15" s="2" t="s">
        <v>79</v>
      </c>
      <c r="D15" s="3"/>
      <c r="E15" s="3"/>
      <c r="F15" s="18">
        <f>'Debt and Cash'!F14</f>
        <v>0</v>
      </c>
      <c r="G15" s="18">
        <f>'Debt and Cash'!G14</f>
        <v>0</v>
      </c>
      <c r="H15" s="18">
        <f>'Debt and Cash'!H14</f>
        <v>0</v>
      </c>
      <c r="I15" s="18">
        <f>'Debt and Cash'!I14</f>
        <v>0</v>
      </c>
      <c r="J15" s="18">
        <f>'Debt and Cash'!J14</f>
        <v>0</v>
      </c>
      <c r="K15" s="18">
        <f>'Debt and Cash'!K14</f>
        <v>0</v>
      </c>
    </row>
    <row r="16" spans="3:11" ht="21" customHeight="1">
      <c r="C16" s="2" t="s">
        <v>80</v>
      </c>
      <c r="D16" s="3"/>
      <c r="E16" s="3"/>
      <c r="F16" s="11">
        <f t="shared" ref="F16:K16" si="2">F13-SUM(F14:F15)</f>
        <v>209.96893174576002</v>
      </c>
      <c r="G16" s="11">
        <f t="shared" si="2"/>
        <v>290.26206247395066</v>
      </c>
      <c r="H16" s="11">
        <f t="shared" si="2"/>
        <v>350.20867014688253</v>
      </c>
      <c r="I16" s="11">
        <f t="shared" si="2"/>
        <v>417.9625056551464</v>
      </c>
      <c r="J16" s="11">
        <f t="shared" si="2"/>
        <v>466.27575392532066</v>
      </c>
      <c r="K16" s="11">
        <f t="shared" si="2"/>
        <v>514.99613409310837</v>
      </c>
    </row>
    <row r="17" spans="3:11" ht="21" customHeight="1">
      <c r="C17" s="2" t="s">
        <v>81</v>
      </c>
      <c r="D17" s="3"/>
      <c r="E17" s="3"/>
      <c r="F17" s="18">
        <f>MAX(0,F16)*Assumptions!F60</f>
        <v>52.492232936440004</v>
      </c>
      <c r="G17" s="18">
        <f>MAX(0,G16)*Assumptions!G60</f>
        <v>72.565515618487666</v>
      </c>
      <c r="H17" s="18">
        <f>MAX(0,H16)*Assumptions!H60</f>
        <v>87.552167536720631</v>
      </c>
      <c r="I17" s="18">
        <f>MAX(0,I16)*Assumptions!I60</f>
        <v>104.4906264137866</v>
      </c>
      <c r="J17" s="18">
        <f>MAX(0,J16)*Assumptions!J60</f>
        <v>116.56893848133016</v>
      </c>
      <c r="K17" s="18">
        <f>MAX(0,K16)*Assumptions!K60</f>
        <v>128.74903352327709</v>
      </c>
    </row>
    <row r="18" spans="3:11" ht="21" customHeight="1">
      <c r="C18" s="15" t="s">
        <v>48</v>
      </c>
      <c r="D18" s="17">
        <f>History!D13</f>
        <v>149.84800000000001</v>
      </c>
      <c r="E18" s="17">
        <f>History!E13</f>
        <v>180.74700000000001</v>
      </c>
      <c r="F18" s="19">
        <f t="shared" ref="F18:K18" si="3">F16-F17</f>
        <v>157.47669880932</v>
      </c>
      <c r="G18" s="19">
        <f t="shared" si="3"/>
        <v>217.696546855463</v>
      </c>
      <c r="H18" s="19">
        <f t="shared" si="3"/>
        <v>262.65650261016191</v>
      </c>
      <c r="I18" s="19">
        <f t="shared" si="3"/>
        <v>313.47187924135983</v>
      </c>
      <c r="J18" s="19">
        <f t="shared" si="3"/>
        <v>349.70681544399048</v>
      </c>
      <c r="K18" s="19">
        <f t="shared" si="3"/>
        <v>386.24710056983128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52</v>
      </c>
      <c r="D20" s="18">
        <f>History!D17</f>
        <v>4.7469999999999999</v>
      </c>
      <c r="E20" s="18">
        <f>History!E17</f>
        <v>4.6349999999999998</v>
      </c>
      <c r="F20" s="18">
        <f>F9*Assumptions!F30</f>
        <v>6.1155999537600003</v>
      </c>
      <c r="G20" s="18">
        <f>G9*Assumptions!G30</f>
        <v>8.2538975111076009</v>
      </c>
      <c r="H20" s="18">
        <f>H9*Assumptions!H30</f>
        <v>9.7280186151911803</v>
      </c>
      <c r="I20" s="18">
        <f>I9*Assumptions!I30</f>
        <v>11.885189734269565</v>
      </c>
      <c r="J20" s="18">
        <f>J9*Assumptions!J30</f>
        <v>13.918679221651363</v>
      </c>
      <c r="K20" s="18">
        <f>K9*Assumptions!K30</f>
        <v>16.177889029102879</v>
      </c>
    </row>
    <row r="21" spans="3:11" ht="21" customHeight="1">
      <c r="C21" s="2" t="s">
        <v>59</v>
      </c>
      <c r="D21" s="18">
        <f>History!D24</f>
        <v>214.405</v>
      </c>
      <c r="E21" s="18">
        <f>History!E24</f>
        <v>217.065</v>
      </c>
      <c r="F21" s="18">
        <f>F9*Assumptions!F35</f>
        <v>200.34728884900218</v>
      </c>
      <c r="G21" s="18">
        <f>G9*Assumptions!G35</f>
        <v>270.39799877217905</v>
      </c>
      <c r="H21" s="18">
        <f>H9*Assumptions!H35</f>
        <v>318.69026263366067</v>
      </c>
      <c r="I21" s="18">
        <f>I9*Assumptions!I35</f>
        <v>389.35927116241623</v>
      </c>
      <c r="J21" s="18">
        <f>J9*Assumptions!J35</f>
        <v>455.97646469702761</v>
      </c>
      <c r="K21" s="18">
        <f>K9*Assumptions!K35</f>
        <v>529.98826456724362</v>
      </c>
    </row>
    <row r="22" spans="3:11" ht="21" customHeight="1">
      <c r="C22" s="2" t="s">
        <v>60</v>
      </c>
      <c r="D22" s="18">
        <f>History!D25</f>
        <v>85.873000000000005</v>
      </c>
      <c r="E22" s="18">
        <f>History!E25</f>
        <v>84.718999999999994</v>
      </c>
      <c r="F22" s="18">
        <f>F9*Assumptions!F40</f>
        <v>78.194190514355682</v>
      </c>
      <c r="G22" s="18">
        <f>G9*Assumptions!G40</f>
        <v>105.53450836376309</v>
      </c>
      <c r="H22" s="18">
        <f>H9*Assumptions!H40</f>
        <v>124.3826520169585</v>
      </c>
      <c r="I22" s="18">
        <f>I9*Assumptions!I40</f>
        <v>151.96428762632732</v>
      </c>
      <c r="J22" s="18">
        <f>J9*Assumptions!J40</f>
        <v>177.96452727370826</v>
      </c>
      <c r="K22" s="18">
        <f>K9*Assumptions!K40</f>
        <v>206.85083171341446</v>
      </c>
    </row>
    <row r="23" spans="3:11" ht="21" customHeight="1">
      <c r="C23" s="2" t="s">
        <v>61</v>
      </c>
      <c r="D23" s="18">
        <f>History!D26</f>
        <v>73.632999999999996</v>
      </c>
      <c r="E23" s="18">
        <f>History!E26</f>
        <v>67.08</v>
      </c>
      <c r="F23" s="18">
        <f>F9*Assumptions!F45</f>
        <v>61.913694681275508</v>
      </c>
      <c r="G23" s="18">
        <f>G9*Assumptions!G45</f>
        <v>83.56159564018968</v>
      </c>
      <c r="H23" s="18">
        <f>H9*Assumptions!H45</f>
        <v>98.48544361120382</v>
      </c>
      <c r="I23" s="18">
        <f>I9*Assumptions!I45</f>
        <v>120.32441853626739</v>
      </c>
      <c r="J23" s="18">
        <f>J9*Assumptions!J45</f>
        <v>140.91125355021128</v>
      </c>
      <c r="K23" s="18">
        <f>K9*Assumptions!K45</f>
        <v>163.78325749047846</v>
      </c>
    </row>
    <row r="24" spans="3:11" ht="21" customHeight="1">
      <c r="C24" s="2" t="s">
        <v>62</v>
      </c>
      <c r="D24" s="18">
        <f>History!D27</f>
        <v>287.76299999999998</v>
      </c>
      <c r="E24" s="18">
        <f>History!E27</f>
        <v>297.94900000000001</v>
      </c>
      <c r="F24" s="18">
        <f>F9*Assumptions!F50</f>
        <v>275.00183984185088</v>
      </c>
      <c r="G24" s="18">
        <f>G9*Assumptions!G50</f>
        <v>371.1552453696911</v>
      </c>
      <c r="H24" s="18">
        <f>H9*Assumptions!H50</f>
        <v>437.44244839765315</v>
      </c>
      <c r="I24" s="18">
        <f>I9*Assumptions!I50</f>
        <v>534.4445464887051</v>
      </c>
      <c r="J24" s="18">
        <f>J9*Assumptions!J50</f>
        <v>625.88501914179949</v>
      </c>
      <c r="K24" s="18">
        <f>K9*Assumptions!K50</f>
        <v>727.47551857529174</v>
      </c>
    </row>
    <row r="25" spans="3:11" ht="21" customHeight="1">
      <c r="C25" s="2" t="s">
        <v>82</v>
      </c>
      <c r="D25" s="11">
        <f t="shared" ref="D25:K25" si="4">SUM(D21:D22)-SUM(D23:D24)</f>
        <v>-61.117999999999938</v>
      </c>
      <c r="E25" s="11">
        <f t="shared" si="4"/>
        <v>-63.245000000000005</v>
      </c>
      <c r="F25" s="11">
        <f t="shared" si="4"/>
        <v>-58.374055159768488</v>
      </c>
      <c r="G25" s="11">
        <f t="shared" si="4"/>
        <v>-78.784333873938635</v>
      </c>
      <c r="H25" s="11">
        <f t="shared" si="4"/>
        <v>-92.854977358237761</v>
      </c>
      <c r="I25" s="11">
        <f t="shared" si="4"/>
        <v>-113.44540623622891</v>
      </c>
      <c r="J25" s="11">
        <f t="shared" si="4"/>
        <v>-132.85528072127488</v>
      </c>
      <c r="K25" s="11">
        <f t="shared" si="4"/>
        <v>-154.41967978511218</v>
      </c>
    </row>
    <row r="26" spans="3:11" ht="21" customHeight="1">
      <c r="C26" s="2" t="s">
        <v>83</v>
      </c>
      <c r="D26" s="3"/>
      <c r="E26" s="3"/>
      <c r="F26" s="11">
        <f t="shared" ref="F26:K26" si="5">F25-E25</f>
        <v>4.8709448402315161</v>
      </c>
      <c r="G26" s="11">
        <f t="shared" si="5"/>
        <v>-20.410278714170147</v>
      </c>
      <c r="H26" s="11">
        <f t="shared" si="5"/>
        <v>-14.070643484299126</v>
      </c>
      <c r="I26" s="11">
        <f t="shared" si="5"/>
        <v>-20.590428877991144</v>
      </c>
      <c r="J26" s="11">
        <f t="shared" si="5"/>
        <v>-19.409874485045975</v>
      </c>
      <c r="K26" s="11">
        <f t="shared" si="5"/>
        <v>-21.5643990638373</v>
      </c>
    </row>
    <row r="27" spans="3:11" ht="21" customHeight="1">
      <c r="C27" s="15" t="s">
        <v>49</v>
      </c>
      <c r="D27" s="17">
        <f>History!D14</f>
        <v>108.661</v>
      </c>
      <c r="E27" s="17">
        <f>History!E14</f>
        <v>167.93700000000001</v>
      </c>
      <c r="F27" s="19">
        <f t="shared" ref="F27:K27" si="6">F18+F12+F20+F15-F26</f>
        <v>172.9910871482885</v>
      </c>
      <c r="G27" s="19">
        <f t="shared" si="6"/>
        <v>265.61981727332511</v>
      </c>
      <c r="H27" s="19">
        <f t="shared" si="6"/>
        <v>309.15387481176492</v>
      </c>
      <c r="I27" s="19">
        <f t="shared" si="6"/>
        <v>373.67960723358283</v>
      </c>
      <c r="J27" s="19">
        <f t="shared" si="6"/>
        <v>415.51228733454099</v>
      </c>
      <c r="K27" s="19">
        <f t="shared" si="6"/>
        <v>461.73779639734482</v>
      </c>
    </row>
    <row r="28" spans="3:11" ht="21" customHeight="1">
      <c r="C28" s="2" t="s">
        <v>50</v>
      </c>
      <c r="D28" s="18">
        <f>History!D15</f>
        <v>11.983000000000001</v>
      </c>
      <c r="E28" s="18">
        <f>History!E15</f>
        <v>13.148999999999999</v>
      </c>
      <c r="F28" s="18">
        <f>F9*Assumptions!F20</f>
        <v>35.67433306360001</v>
      </c>
      <c r="G28" s="18">
        <f>G9*Assumptions!G20</f>
        <v>48.147735481461012</v>
      </c>
      <c r="H28" s="18">
        <f>H9*Assumptions!H20</f>
        <v>56.746775255281882</v>
      </c>
      <c r="I28" s="18">
        <f>I9*Assumptions!I20</f>
        <v>69.330273449905803</v>
      </c>
      <c r="J28" s="18">
        <f>J9*Assumptions!J20</f>
        <v>81.192295459632959</v>
      </c>
      <c r="K28" s="18">
        <f>K9*Assumptions!K20</f>
        <v>94.371019336433477</v>
      </c>
    </row>
    <row r="29" spans="3:11" ht="21" customHeight="1">
      <c r="C29" s="15" t="s">
        <v>84</v>
      </c>
      <c r="D29" s="16"/>
      <c r="E29" s="16"/>
      <c r="F29" s="19">
        <f t="shared" ref="F29:K29" si="7">F27-F28</f>
        <v>137.31675408468848</v>
      </c>
      <c r="G29" s="19">
        <f t="shared" si="7"/>
        <v>217.4720817918641</v>
      </c>
      <c r="H29" s="19">
        <f t="shared" si="7"/>
        <v>252.40709955648305</v>
      </c>
      <c r="I29" s="19">
        <f t="shared" si="7"/>
        <v>304.34933378367703</v>
      </c>
      <c r="J29" s="19">
        <f t="shared" si="7"/>
        <v>334.31999187490806</v>
      </c>
      <c r="K29" s="19">
        <f t="shared" si="7"/>
        <v>367.36677706091132</v>
      </c>
    </row>
    <row r="30" spans="3:11" ht="21" customHeight="1">
      <c r="C30" s="2" t="s">
        <v>85</v>
      </c>
      <c r="D30" s="3"/>
      <c r="E30" s="3"/>
      <c r="F30" s="18">
        <f>'Debt and Cash'!F10</f>
        <v>0</v>
      </c>
      <c r="G30" s="18">
        <f>'Debt and Cash'!G10</f>
        <v>0</v>
      </c>
      <c r="H30" s="18">
        <f>'Debt and Cash'!H10</f>
        <v>0</v>
      </c>
      <c r="I30" s="18">
        <f>'Debt and Cash'!I10</f>
        <v>0</v>
      </c>
      <c r="J30" s="18">
        <f>'Debt and Cash'!J10</f>
        <v>0</v>
      </c>
      <c r="K30" s="18">
        <f>'Debt and Cash'!K10</f>
        <v>0</v>
      </c>
    </row>
    <row r="31" spans="3:11" ht="21" customHeight="1">
      <c r="C31" s="2" t="s">
        <v>86</v>
      </c>
      <c r="D31" s="3"/>
      <c r="E31" s="3"/>
      <c r="F31" s="18">
        <f>SUM('Debt and Cash'!F15:F16)</f>
        <v>0</v>
      </c>
      <c r="G31" s="18">
        <f>SUM('Debt and Cash'!G15:G16)</f>
        <v>0</v>
      </c>
      <c r="H31" s="18">
        <f>SUM('Debt and Cash'!H15:H16)</f>
        <v>0</v>
      </c>
      <c r="I31" s="18">
        <f>SUM('Debt and Cash'!I15:I16)</f>
        <v>0</v>
      </c>
      <c r="J31" s="18">
        <f>SUM('Debt and Cash'!J15:J16)</f>
        <v>0</v>
      </c>
      <c r="K31" s="18">
        <f>SUM('Debt and Cash'!K15:K16)</f>
        <v>0</v>
      </c>
    </row>
    <row r="32" spans="3:11" ht="21" customHeight="1">
      <c r="C32" s="2" t="s">
        <v>87</v>
      </c>
      <c r="D32" s="3"/>
      <c r="E32" s="3"/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3:11" ht="21" customHeight="1">
      <c r="C33" s="2" t="s">
        <v>88</v>
      </c>
      <c r="D33" s="3"/>
      <c r="E33" s="3"/>
      <c r="F33" s="11">
        <f>0</f>
        <v>0</v>
      </c>
      <c r="G33" s="11">
        <f>0</f>
        <v>0</v>
      </c>
      <c r="H33" s="11">
        <f>0</f>
        <v>0</v>
      </c>
      <c r="I33" s="11">
        <f>0</f>
        <v>0</v>
      </c>
      <c r="J33" s="11">
        <f>0</f>
        <v>0</v>
      </c>
      <c r="K33" s="11">
        <f>0</f>
        <v>0</v>
      </c>
    </row>
    <row r="34" spans="3:11" ht="21" customHeight="1">
      <c r="C34" s="2" t="s">
        <v>89</v>
      </c>
      <c r="D34" s="3"/>
      <c r="E34" s="3"/>
      <c r="F34" s="11">
        <f t="shared" ref="F34:K34" si="8">F29+F30-F31+F32-F33</f>
        <v>137.31675408468848</v>
      </c>
      <c r="G34" s="11">
        <f t="shared" si="8"/>
        <v>217.4720817918641</v>
      </c>
      <c r="H34" s="11">
        <f t="shared" si="8"/>
        <v>252.40709955648305</v>
      </c>
      <c r="I34" s="11">
        <f t="shared" si="8"/>
        <v>304.34933378367703</v>
      </c>
      <c r="J34" s="11">
        <f t="shared" si="8"/>
        <v>334.31999187490806</v>
      </c>
      <c r="K34" s="11">
        <f t="shared" si="8"/>
        <v>367.36677706091132</v>
      </c>
    </row>
    <row r="35" spans="3:11" ht="21" customHeight="1">
      <c r="C35" s="2" t="s">
        <v>90</v>
      </c>
      <c r="D35" s="3"/>
      <c r="E35" s="3"/>
      <c r="F35" s="11">
        <f t="shared" ref="F35:K35" si="9">E36</f>
        <v>450.73899999999998</v>
      </c>
      <c r="G35" s="11">
        <f t="shared" si="9"/>
        <v>588.05575408468849</v>
      </c>
      <c r="H35" s="11">
        <f t="shared" si="9"/>
        <v>805.52783587655256</v>
      </c>
      <c r="I35" s="11">
        <f t="shared" si="9"/>
        <v>1057.9349354330357</v>
      </c>
      <c r="J35" s="11">
        <f t="shared" si="9"/>
        <v>1362.2842692167128</v>
      </c>
      <c r="K35" s="11">
        <f t="shared" si="9"/>
        <v>1696.6042610916209</v>
      </c>
    </row>
    <row r="36" spans="3:11" ht="21" customHeight="1">
      <c r="C36" s="15" t="s">
        <v>91</v>
      </c>
      <c r="D36" s="17">
        <f>History!D19</f>
        <v>315.33100000000002</v>
      </c>
      <c r="E36" s="17">
        <f>History!E19</f>
        <v>450.73899999999998</v>
      </c>
      <c r="F36" s="19">
        <f t="shared" ref="F36:K36" si="10">SUM(F34:F35)</f>
        <v>588.05575408468849</v>
      </c>
      <c r="G36" s="19">
        <f t="shared" si="10"/>
        <v>805.52783587655256</v>
      </c>
      <c r="H36" s="19">
        <f t="shared" si="10"/>
        <v>1057.9349354330357</v>
      </c>
      <c r="I36" s="19">
        <f t="shared" si="10"/>
        <v>1362.2842692167128</v>
      </c>
      <c r="J36" s="19">
        <f t="shared" si="10"/>
        <v>1696.6042610916209</v>
      </c>
      <c r="K36" s="19">
        <f t="shared" si="10"/>
        <v>2063.9710381525319</v>
      </c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 t="s">
        <v>92</v>
      </c>
      <c r="D39" s="11">
        <f>D40-D36-SUM(D21:D22)</f>
        <v>312.57099999999991</v>
      </c>
      <c r="E39" s="11">
        <f>E40-E36-SUM(E21:E22)</f>
        <v>356.4609999999999</v>
      </c>
      <c r="F39" s="11">
        <f t="shared" ref="F39:K39" si="11">E39+F28-F12</f>
        <v>377.86559983815988</v>
      </c>
      <c r="G39" s="11">
        <f t="shared" si="11"/>
        <v>406.75424112703644</v>
      </c>
      <c r="H39" s="11">
        <f t="shared" si="11"/>
        <v>440.80230628020558</v>
      </c>
      <c r="I39" s="11">
        <f t="shared" si="11"/>
        <v>482.40047035014908</v>
      </c>
      <c r="J39" s="11">
        <f t="shared" si="11"/>
        <v>531.11584762592884</v>
      </c>
      <c r="K39" s="11">
        <f t="shared" si="11"/>
        <v>587.73845922778901</v>
      </c>
    </row>
    <row r="40" spans="3:11" ht="21" customHeight="1">
      <c r="C40" s="15" t="s">
        <v>93</v>
      </c>
      <c r="D40" s="17">
        <f>History!D21</f>
        <v>928.18</v>
      </c>
      <c r="E40" s="17">
        <f>History!E21</f>
        <v>1108.9839999999999</v>
      </c>
      <c r="F40" s="19">
        <f t="shared" ref="F40:K40" si="12">F36+SUM(F21:F22)+F39</f>
        <v>1244.4628332862062</v>
      </c>
      <c r="G40" s="19">
        <f t="shared" si="12"/>
        <v>1588.2145841395313</v>
      </c>
      <c r="H40" s="19">
        <f t="shared" si="12"/>
        <v>1941.8101563638604</v>
      </c>
      <c r="I40" s="19">
        <f t="shared" si="12"/>
        <v>2386.0082983556053</v>
      </c>
      <c r="J40" s="19">
        <f t="shared" si="12"/>
        <v>2861.6611006882858</v>
      </c>
      <c r="K40" s="19">
        <f t="shared" si="12"/>
        <v>3388.5485936609789</v>
      </c>
    </row>
    <row r="41" spans="3:11" ht="21" customHeight="1">
      <c r="C41" s="2" t="s">
        <v>94</v>
      </c>
      <c r="D41" s="18">
        <f>SUM(History!D28:D29)</f>
        <v>0</v>
      </c>
      <c r="E41" s="18">
        <f>SUM(History!E28:E29)</f>
        <v>0</v>
      </c>
      <c r="F41" s="18">
        <f>'Debt and Cash'!F17</f>
        <v>0</v>
      </c>
      <c r="G41" s="18">
        <f>'Debt and Cash'!G17</f>
        <v>0</v>
      </c>
      <c r="H41" s="18">
        <f>'Debt and Cash'!H17</f>
        <v>0</v>
      </c>
      <c r="I41" s="18">
        <f>'Debt and Cash'!I17</f>
        <v>0</v>
      </c>
      <c r="J41" s="18">
        <f>'Debt and Cash'!J17</f>
        <v>0</v>
      </c>
      <c r="K41" s="18">
        <f>'Debt and Cash'!K17</f>
        <v>0</v>
      </c>
    </row>
    <row r="42" spans="3:11" ht="21" customHeight="1">
      <c r="C42" s="2" t="s">
        <v>95</v>
      </c>
      <c r="D42" s="18">
        <f>History!D22-D41-SUM(D23:D24)</f>
        <v>83.71100000000007</v>
      </c>
      <c r="E42" s="18">
        <f>History!E22-E41-SUM(E23:E24)</f>
        <v>103.185</v>
      </c>
      <c r="F42" s="11">
        <f t="shared" ref="F42:K43" si="13">E42</f>
        <v>103.185</v>
      </c>
      <c r="G42" s="11">
        <f t="shared" si="13"/>
        <v>103.185</v>
      </c>
      <c r="H42" s="11">
        <f t="shared" si="13"/>
        <v>103.185</v>
      </c>
      <c r="I42" s="11">
        <f t="shared" si="13"/>
        <v>103.185</v>
      </c>
      <c r="J42" s="11">
        <f t="shared" si="13"/>
        <v>103.185</v>
      </c>
      <c r="K42" s="11">
        <f t="shared" si="13"/>
        <v>103.185</v>
      </c>
    </row>
    <row r="43" spans="3:11" ht="21" customHeight="1">
      <c r="C43" s="2" t="s">
        <v>96</v>
      </c>
      <c r="D43" s="11">
        <f>0</f>
        <v>0</v>
      </c>
      <c r="E43" s="11">
        <f>0</f>
        <v>0</v>
      </c>
      <c r="F43" s="11">
        <f t="shared" si="13"/>
        <v>0</v>
      </c>
      <c r="G43" s="11">
        <f t="shared" si="13"/>
        <v>0</v>
      </c>
      <c r="H43" s="11">
        <f t="shared" si="13"/>
        <v>0</v>
      </c>
      <c r="I43" s="11">
        <f t="shared" si="13"/>
        <v>0</v>
      </c>
      <c r="J43" s="11">
        <f t="shared" si="13"/>
        <v>0</v>
      </c>
      <c r="K43" s="11">
        <f t="shared" si="13"/>
        <v>0</v>
      </c>
    </row>
    <row r="44" spans="3:11" ht="21" customHeight="1">
      <c r="C44" s="2" t="s">
        <v>97</v>
      </c>
      <c r="D44" s="18">
        <f>History!D23</f>
        <v>483.07299999999998</v>
      </c>
      <c r="E44" s="18">
        <f>History!E23</f>
        <v>640.77</v>
      </c>
      <c r="F44" s="11">
        <f t="shared" ref="F44:K44" si="14">E44+F18+F20+F32-F33</f>
        <v>804.36229876307993</v>
      </c>
      <c r="G44" s="11">
        <f t="shared" si="14"/>
        <v>1030.3127431296505</v>
      </c>
      <c r="H44" s="11">
        <f t="shared" si="14"/>
        <v>1302.6972643550034</v>
      </c>
      <c r="I44" s="11">
        <f t="shared" si="14"/>
        <v>1628.0543333306327</v>
      </c>
      <c r="J44" s="11">
        <f t="shared" si="14"/>
        <v>1991.6798279962748</v>
      </c>
      <c r="K44" s="11">
        <f t="shared" si="14"/>
        <v>2394.1048175952092</v>
      </c>
    </row>
    <row r="45" spans="3:11" ht="21" customHeight="1">
      <c r="C45" s="15" t="s">
        <v>98</v>
      </c>
      <c r="D45" s="19">
        <f t="shared" ref="D45:K45" si="15">SUM(D23:D24)+SUM(D41:D44)</f>
        <v>928.18000000000006</v>
      </c>
      <c r="E45" s="19">
        <f t="shared" si="15"/>
        <v>1108.9839999999999</v>
      </c>
      <c r="F45" s="19">
        <f t="shared" si="15"/>
        <v>1244.4628332862062</v>
      </c>
      <c r="G45" s="19">
        <f t="shared" si="15"/>
        <v>1588.2145841395313</v>
      </c>
      <c r="H45" s="19">
        <f t="shared" si="15"/>
        <v>1941.8101563638602</v>
      </c>
      <c r="I45" s="19">
        <f t="shared" si="15"/>
        <v>2386.0082983556049</v>
      </c>
      <c r="J45" s="19">
        <f t="shared" si="15"/>
        <v>2861.6611006882858</v>
      </c>
      <c r="K45" s="19">
        <f t="shared" si="15"/>
        <v>3388.5485936609793</v>
      </c>
    </row>
    <row r="46" spans="3:11" ht="21" customHeight="1">
      <c r="C46" s="2" t="s">
        <v>99</v>
      </c>
      <c r="D46" s="11">
        <f t="shared" ref="D46:K46" si="16">D40-D45</f>
        <v>0</v>
      </c>
      <c r="E46" s="11">
        <f t="shared" si="16"/>
        <v>0</v>
      </c>
      <c r="F46" s="11">
        <f t="shared" si="16"/>
        <v>0</v>
      </c>
      <c r="G46" s="11">
        <f t="shared" si="16"/>
        <v>0</v>
      </c>
      <c r="H46" s="11">
        <f t="shared" si="16"/>
        <v>0</v>
      </c>
      <c r="I46" s="11">
        <f t="shared" si="16"/>
        <v>0</v>
      </c>
      <c r="J46" s="11">
        <f t="shared" si="16"/>
        <v>0</v>
      </c>
      <c r="K46" s="11">
        <f t="shared" si="16"/>
        <v>0</v>
      </c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15" t="s">
        <v>100</v>
      </c>
      <c r="D48" s="16"/>
      <c r="E48" s="16"/>
      <c r="F48" s="17">
        <f>F13*(1-Assumptions!F60)+F12-F28-F26</f>
        <v>131.20115413092847</v>
      </c>
      <c r="G48" s="17">
        <f>G13*(1-Assumptions!G60)+G12-G28-G26</f>
        <v>209.21818428075653</v>
      </c>
      <c r="H48" s="17">
        <f>H13*(1-Assumptions!H60)+H12-H28-H26</f>
        <v>242.67908094129189</v>
      </c>
      <c r="I48" s="17">
        <f>I13*(1-Assumptions!I60)+I12-I28-I26</f>
        <v>292.46414404940748</v>
      </c>
      <c r="J48" s="17">
        <f>J13*(1-Assumptions!J60)+J12-J28-J26</f>
        <v>320.4013126532567</v>
      </c>
      <c r="K48" s="17">
        <f>K13*(1-Assumptions!K60)+K12-K28-K26</f>
        <v>351.18888803180846</v>
      </c>
    </row>
    <row r="49" spans="3:11" ht="21" customHeight="1">
      <c r="C49" s="2" t="s">
        <v>101</v>
      </c>
      <c r="D49" s="3"/>
      <c r="E49" s="3"/>
      <c r="F49" s="11">
        <f>36.432564</f>
        <v>36.432563999999999</v>
      </c>
      <c r="G49" s="11">
        <f>F49*(1+0.01)</f>
        <v>36.796889639999996</v>
      </c>
      <c r="H49" s="11">
        <f>G49*(1+0.01)</f>
        <v>37.164858536399997</v>
      </c>
      <c r="I49" s="11">
        <f>H49*(1+0.01)</f>
        <v>37.536507121763997</v>
      </c>
      <c r="J49" s="11">
        <f>I49*(1+0.01)</f>
        <v>37.91187219298164</v>
      </c>
      <c r="K49" s="11">
        <f>J49*(1+0.01)</f>
        <v>38.290990914911454</v>
      </c>
    </row>
    <row r="50" spans="3:11" ht="21" customHeight="1">
      <c r="C50" s="2" t="s">
        <v>102</v>
      </c>
      <c r="D50" s="13">
        <f t="shared" ref="D50:K50" si="17">D11/D9</f>
        <v>0.18337817921758751</v>
      </c>
      <c r="E50" s="13">
        <f t="shared" si="17"/>
        <v>0.20385885225089151</v>
      </c>
      <c r="F50" s="13">
        <f t="shared" si="17"/>
        <v>0.22</v>
      </c>
      <c r="G50" s="13">
        <f t="shared" si="17"/>
        <v>0.22500000000000003</v>
      </c>
      <c r="H50" s="13">
        <f t="shared" si="17"/>
        <v>0.23000000000000004</v>
      </c>
      <c r="I50" s="13">
        <f t="shared" si="17"/>
        <v>0.22500000000000001</v>
      </c>
      <c r="J50" s="13">
        <f t="shared" si="17"/>
        <v>0.215</v>
      </c>
      <c r="K50" s="13">
        <f t="shared" si="17"/>
        <v>0.20499999999999999</v>
      </c>
    </row>
    <row r="51" spans="3:11" ht="21" customHeight="1">
      <c r="C51" s="2" t="s">
        <v>103</v>
      </c>
      <c r="D51" s="13">
        <f t="shared" ref="D51:K51" si="18">D27/D11</f>
        <v>0.58531921311757984</v>
      </c>
      <c r="E51" s="13">
        <f t="shared" si="18"/>
        <v>0.74597223764575238</v>
      </c>
      <c r="F51" s="13">
        <f t="shared" si="18"/>
        <v>0.77145967298060092</v>
      </c>
      <c r="G51" s="13">
        <f t="shared" si="18"/>
        <v>0.85816368785249986</v>
      </c>
      <c r="H51" s="13">
        <f t="shared" si="18"/>
        <v>0.82903662192295235</v>
      </c>
      <c r="I51" s="13">
        <f t="shared" si="18"/>
        <v>0.83842073614496548</v>
      </c>
      <c r="J51" s="13">
        <f t="shared" si="18"/>
        <v>0.83310287958434825</v>
      </c>
      <c r="K51" s="13">
        <f t="shared" si="18"/>
        <v>0.83535478228438431</v>
      </c>
    </row>
    <row r="52" spans="3:11" ht="21" customHeight="1">
      <c r="C52" s="2" t="s">
        <v>104</v>
      </c>
      <c r="D52" s="3"/>
      <c r="E52" s="3"/>
      <c r="F52" s="18">
        <f>F36-Assumptions!$D$73</f>
        <v>568.05575408468849</v>
      </c>
      <c r="G52" s="18">
        <f>G36-Assumptions!$D$73</f>
        <v>785.52783587655256</v>
      </c>
      <c r="H52" s="18">
        <f>H36-Assumptions!$D$73</f>
        <v>1037.9349354330357</v>
      </c>
      <c r="I52" s="18">
        <f>I36-Assumptions!$D$73</f>
        <v>1342.2842692167128</v>
      </c>
      <c r="J52" s="18">
        <f>J36-Assumptions!$D$73</f>
        <v>1676.6042610916209</v>
      </c>
      <c r="K52" s="18">
        <f>K36-Assumptions!$D$73</f>
        <v>2043.9710381525319</v>
      </c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 t="s">
        <v>105</v>
      </c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 t="s">
        <v>106</v>
      </c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 t="s">
        <v>107</v>
      </c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E720-29CB-418F-B464-EFD3D38C3376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108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109</v>
      </c>
      <c r="D9" s="3"/>
      <c r="E9" s="3"/>
      <c r="F9" s="18">
        <f>Forecast!E41</f>
        <v>0</v>
      </c>
      <c r="G9" s="18">
        <f>Forecast!F41</f>
        <v>0</v>
      </c>
      <c r="H9" s="18">
        <f>Forecast!G41</f>
        <v>0</v>
      </c>
      <c r="I9" s="18">
        <f>Forecast!H41</f>
        <v>0</v>
      </c>
      <c r="J9" s="18">
        <f>Forecast!I41</f>
        <v>0</v>
      </c>
      <c r="K9" s="18">
        <f>Forecast!J41</f>
        <v>0</v>
      </c>
    </row>
    <row r="10" spans="3:11" ht="21" customHeight="1">
      <c r="C10" s="2" t="s">
        <v>110</v>
      </c>
      <c r="D10" s="3"/>
      <c r="E10" s="3"/>
      <c r="F10" s="11">
        <f>0</f>
        <v>0</v>
      </c>
      <c r="G10" s="11">
        <f>0</f>
        <v>0</v>
      </c>
      <c r="H10" s="11">
        <f>0</f>
        <v>0</v>
      </c>
      <c r="I10" s="11">
        <f>0</f>
        <v>0</v>
      </c>
      <c r="J10" s="11">
        <f>0</f>
        <v>0</v>
      </c>
      <c r="K10" s="11">
        <f>0</f>
        <v>0</v>
      </c>
    </row>
    <row r="11" spans="3:11" ht="21" customHeight="1">
      <c r="C11" s="2" t="s">
        <v>111</v>
      </c>
      <c r="D11" s="3"/>
      <c r="E11" s="3"/>
      <c r="F11" s="20">
        <f>Assumptions!F55</f>
        <v>8.5000000000000006E-2</v>
      </c>
      <c r="G11" s="20">
        <f>Assumptions!G55</f>
        <v>8.5000000000000006E-2</v>
      </c>
      <c r="H11" s="20">
        <f>Assumptions!H55</f>
        <v>8.5000000000000006E-2</v>
      </c>
      <c r="I11" s="20">
        <f>Assumptions!I55</f>
        <v>8.5000000000000006E-2</v>
      </c>
      <c r="J11" s="20">
        <f>Assumptions!J55</f>
        <v>8.5000000000000006E-2</v>
      </c>
      <c r="K11" s="20">
        <f>Assumptions!K55</f>
        <v>8.5000000000000006E-2</v>
      </c>
    </row>
    <row r="12" spans="3:11" ht="21" customHeight="1">
      <c r="C12" s="2" t="s">
        <v>112</v>
      </c>
      <c r="D12" s="3"/>
      <c r="E12" s="3"/>
      <c r="F12" s="20">
        <f>Assumptions!F65</f>
        <v>0</v>
      </c>
      <c r="G12" s="20">
        <f>Assumptions!G65</f>
        <v>0</v>
      </c>
      <c r="H12" s="20">
        <f>Assumptions!H65</f>
        <v>0</v>
      </c>
      <c r="I12" s="20">
        <f>Assumptions!I65</f>
        <v>0</v>
      </c>
      <c r="J12" s="20">
        <f>Assumptions!J65</f>
        <v>0</v>
      </c>
      <c r="K12" s="20">
        <f>Assumptions!K65</f>
        <v>0</v>
      </c>
    </row>
    <row r="13" spans="3:11" ht="21" customHeight="1">
      <c r="C13" s="2" t="s">
        <v>78</v>
      </c>
      <c r="D13" s="3"/>
      <c r="E13" s="3"/>
      <c r="F13" s="11">
        <f t="shared" ref="F13:K13" si="0">(F9+F10)*F11</f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  <c r="J13" s="11">
        <f t="shared" si="0"/>
        <v>0</v>
      </c>
      <c r="K13" s="11">
        <f t="shared" si="0"/>
        <v>0</v>
      </c>
    </row>
    <row r="14" spans="3:11" ht="21" customHeight="1">
      <c r="C14" s="2" t="s">
        <v>113</v>
      </c>
      <c r="D14" s="3"/>
      <c r="E14" s="3"/>
      <c r="F14" s="11">
        <f t="shared" ref="F14:K14" si="1">(F9+F10)*F12</f>
        <v>0</v>
      </c>
      <c r="G14" s="11">
        <f t="shared" si="1"/>
        <v>0</v>
      </c>
      <c r="H14" s="11">
        <f t="shared" si="1"/>
        <v>0</v>
      </c>
      <c r="I14" s="11">
        <f t="shared" si="1"/>
        <v>0</v>
      </c>
      <c r="J14" s="11">
        <f t="shared" si="1"/>
        <v>0</v>
      </c>
      <c r="K14" s="11">
        <f t="shared" si="1"/>
        <v>0</v>
      </c>
    </row>
    <row r="15" spans="3:11" ht="21" customHeight="1">
      <c r="C15" s="2" t="s">
        <v>114</v>
      </c>
      <c r="D15" s="3"/>
      <c r="E15" s="3"/>
      <c r="F15" s="11">
        <f t="shared" ref="F15:K15" si="2">MIN(F9+F10,(F9+F10)*0.02)</f>
        <v>0</v>
      </c>
      <c r="G15" s="11">
        <f t="shared" si="2"/>
        <v>0</v>
      </c>
      <c r="H15" s="11">
        <f t="shared" si="2"/>
        <v>0</v>
      </c>
      <c r="I15" s="11">
        <f t="shared" si="2"/>
        <v>0</v>
      </c>
      <c r="J15" s="11">
        <f t="shared" si="2"/>
        <v>0</v>
      </c>
      <c r="K15" s="11">
        <f t="shared" si="2"/>
        <v>0</v>
      </c>
    </row>
    <row r="16" spans="3:11" ht="21" customHeight="1">
      <c r="C16" s="2" t="s">
        <v>115</v>
      </c>
      <c r="D16" s="3"/>
      <c r="E16" s="3"/>
      <c r="F16" s="11">
        <f>0</f>
        <v>0</v>
      </c>
      <c r="G16" s="11">
        <f>0</f>
        <v>0</v>
      </c>
      <c r="H16" s="11">
        <f>0</f>
        <v>0</v>
      </c>
      <c r="I16" s="11">
        <f>0</f>
        <v>0</v>
      </c>
      <c r="J16" s="11">
        <f>0</f>
        <v>0</v>
      </c>
      <c r="K16" s="11">
        <f>0</f>
        <v>0</v>
      </c>
    </row>
    <row r="17" spans="3:11" ht="21" customHeight="1">
      <c r="C17" s="2" t="s">
        <v>94</v>
      </c>
      <c r="D17" s="3"/>
      <c r="E17" s="3"/>
      <c r="F17" s="11">
        <f t="shared" ref="F17:K17" si="3">SUM(F9:F10)+F14-SUM(F15:F16)</f>
        <v>0</v>
      </c>
      <c r="G17" s="11">
        <f t="shared" si="3"/>
        <v>0</v>
      </c>
      <c r="H17" s="11">
        <f t="shared" si="3"/>
        <v>0</v>
      </c>
      <c r="I17" s="11">
        <f t="shared" si="3"/>
        <v>0</v>
      </c>
      <c r="J17" s="11">
        <f t="shared" si="3"/>
        <v>0</v>
      </c>
      <c r="K17" s="11">
        <f t="shared" si="3"/>
        <v>0</v>
      </c>
    </row>
    <row r="18" spans="3:11" ht="21" customHeight="1">
      <c r="C18" s="2" t="s">
        <v>116</v>
      </c>
      <c r="D18" s="3"/>
      <c r="E18" s="3"/>
      <c r="F18" s="11">
        <f t="shared" ref="F18:K18" si="4">F17-(F9+F10+F14-F15-F16)</f>
        <v>0</v>
      </c>
      <c r="G18" s="11">
        <f t="shared" si="4"/>
        <v>0</v>
      </c>
      <c r="H18" s="11">
        <f t="shared" si="4"/>
        <v>0</v>
      </c>
      <c r="I18" s="11">
        <f t="shared" si="4"/>
        <v>0</v>
      </c>
      <c r="J18" s="11">
        <f t="shared" si="4"/>
        <v>0</v>
      </c>
      <c r="K18" s="11">
        <f t="shared" si="4"/>
        <v>0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117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118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AD44-3B80-4EA6-840A-00883469BBC6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119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 t="s">
        <v>120</v>
      </c>
      <c r="D6" s="7" t="s">
        <v>121</v>
      </c>
      <c r="E6" s="7"/>
      <c r="F6" s="7"/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122</v>
      </c>
      <c r="E7" s="4"/>
      <c r="F7" s="4"/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123</v>
      </c>
      <c r="D9" s="3"/>
      <c r="E9" s="3"/>
      <c r="F9" s="3"/>
      <c r="G9" s="18">
        <f>Forecast!G48</f>
        <v>209.21818428075653</v>
      </c>
      <c r="H9" s="18">
        <f>Forecast!H48</f>
        <v>242.67908094129189</v>
      </c>
      <c r="I9" s="18">
        <f>Forecast!I48</f>
        <v>292.46414404940748</v>
      </c>
      <c r="J9" s="18">
        <f>Forecast!J48</f>
        <v>320.4013126532567</v>
      </c>
      <c r="K9" s="18">
        <f>Forecast!K48</f>
        <v>351.18888803180846</v>
      </c>
    </row>
    <row r="10" spans="3:11" ht="21" customHeight="1">
      <c r="C10" s="2" t="s">
        <v>124</v>
      </c>
      <c r="D10" s="3"/>
      <c r="E10" s="3"/>
      <c r="F10" s="3"/>
      <c r="G10" s="3">
        <v>1</v>
      </c>
      <c r="H10" s="3">
        <v>2</v>
      </c>
      <c r="I10" s="3">
        <v>3</v>
      </c>
      <c r="J10" s="3">
        <v>4</v>
      </c>
      <c r="K10" s="3">
        <v>5</v>
      </c>
    </row>
    <row r="11" spans="3:11" ht="21" customHeight="1">
      <c r="C11" s="2" t="s">
        <v>125</v>
      </c>
      <c r="D11" s="3"/>
      <c r="E11" s="3"/>
      <c r="F11" s="3"/>
      <c r="G11" s="18">
        <f>1/(1+Assumptions!$D$71)^G10</f>
        <v>0.89686098654708524</v>
      </c>
      <c r="H11" s="18">
        <f>1/(1+Assumptions!$D$71)^H10</f>
        <v>0.80435962919021098</v>
      </c>
      <c r="I11" s="18">
        <f>1/(1+Assumptions!$D$71)^I10</f>
        <v>0.72139877057418023</v>
      </c>
      <c r="J11" s="18">
        <f>1/(1+Assumptions!$D$71)^J10</f>
        <v>0.64699441307101357</v>
      </c>
      <c r="K11" s="18">
        <f>1/(1+Assumptions!$D$71)^K10</f>
        <v>0.58026404759732153</v>
      </c>
    </row>
    <row r="12" spans="3:11" ht="21" customHeight="1">
      <c r="C12" s="2" t="s">
        <v>126</v>
      </c>
      <c r="D12" s="3"/>
      <c r="E12" s="3"/>
      <c r="F12" s="3"/>
      <c r="G12" s="11">
        <f>G9*G11</f>
        <v>187.63962715762918</v>
      </c>
      <c r="H12" s="11">
        <f>H9*H11</f>
        <v>195.20125555815875</v>
      </c>
      <c r="I12" s="11">
        <f>I9*I11</f>
        <v>210.98327395427251</v>
      </c>
      <c r="J12" s="11">
        <f>J9*J11</f>
        <v>207.29785922727612</v>
      </c>
      <c r="K12" s="11">
        <f>K9*K11</f>
        <v>203.78228564053973</v>
      </c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127</v>
      </c>
      <c r="D15" s="18">
        <f>K9*(1+Assumptions!$D$72)</f>
        <v>359.96861023260362</v>
      </c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128</v>
      </c>
      <c r="D16" s="18">
        <f>D15/(Assumptions!$D$71-Assumptions!$D$72)</f>
        <v>3999.651224806707</v>
      </c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129</v>
      </c>
      <c r="D17" s="11">
        <f>D16*K11</f>
        <v>2320.8538086839244</v>
      </c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130</v>
      </c>
      <c r="D18" s="11">
        <f>SUM(G12:K12)+D17</f>
        <v>3325.758110221801</v>
      </c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109</v>
      </c>
      <c r="D19" s="3">
        <v>0</v>
      </c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90</v>
      </c>
      <c r="D20" s="18">
        <f>History!E19</f>
        <v>450.73899999999998</v>
      </c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131</v>
      </c>
      <c r="D21" s="11">
        <f>D18-D19+D20</f>
        <v>3776.497110221801</v>
      </c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132</v>
      </c>
      <c r="D22" s="3">
        <v>36.432563999999999</v>
      </c>
      <c r="E22" s="3"/>
      <c r="F22" s="3"/>
      <c r="G22" s="3"/>
      <c r="H22" s="3"/>
      <c r="I22" s="3"/>
      <c r="J22" s="3"/>
      <c r="K22" s="3"/>
    </row>
    <row r="23" spans="3:11" ht="21" customHeight="1">
      <c r="C23" s="2" t="s">
        <v>133</v>
      </c>
      <c r="D23" s="11">
        <f>MAX(0,D21)/D22</f>
        <v>103.65718729600808</v>
      </c>
      <c r="E23" s="3"/>
      <c r="F23" s="3"/>
      <c r="G23" s="3"/>
      <c r="H23" s="3"/>
      <c r="I23" s="3"/>
      <c r="J23" s="3"/>
      <c r="K23" s="3"/>
    </row>
    <row r="24" spans="3:11" ht="21" customHeight="1">
      <c r="C24" s="2" t="s">
        <v>134</v>
      </c>
      <c r="D24" s="3">
        <v>197.83999633789063</v>
      </c>
      <c r="E24" s="3"/>
      <c r="F24" s="3"/>
      <c r="G24" s="3"/>
      <c r="H24" s="3"/>
      <c r="I24" s="3"/>
      <c r="J24" s="3"/>
      <c r="K24" s="3"/>
    </row>
    <row r="25" spans="3:11" ht="21" customHeight="1">
      <c r="C25" s="2" t="s">
        <v>135</v>
      </c>
      <c r="D25" s="13">
        <f>D23/D24-1</f>
        <v>-0.4760554528166685</v>
      </c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 t="s">
        <v>136</v>
      </c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 t="s">
        <v>137</v>
      </c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12">
        <v>0.01</v>
      </c>
      <c r="E33" s="12">
        <v>0.02</v>
      </c>
      <c r="F33" s="12">
        <v>2.5000000000000001E-2</v>
      </c>
      <c r="G33" s="12">
        <v>0.03</v>
      </c>
      <c r="H33" s="3"/>
      <c r="I33" s="3"/>
      <c r="J33" s="3"/>
      <c r="K33" s="3"/>
    </row>
    <row r="34" spans="3:11" ht="21" customHeight="1">
      <c r="C34" s="12">
        <v>9.5000000000000001E-2</v>
      </c>
      <c r="D34" s="18">
        <f>Forecast!G48/(1+$C34)^1+Forecast!H48/(1+$C34)^2+Forecast!I48/(1+$C34)^3+Forecast!J48/(1+$C34)^4+Forecast!K48/(1+$C34)^5+Forecast!K48*(1+D$33)/($C34-D$33)/(1+$C34)^5</f>
        <v>3712.9415927434966</v>
      </c>
      <c r="E34" s="18">
        <f>Forecast!G48/(1+$C34)^1+Forecast!H48/(1+$C34)^2+Forecast!I48/(1+$C34)^3+Forecast!J48/(1+$C34)^4+Forecast!K48/(1+$C34)^5+Forecast!K48*(1+E$33)/($C34-E$33)/(1+$C34)^5</f>
        <v>4096.1227106604056</v>
      </c>
      <c r="F34" s="18">
        <f>Forecast!G48/(1+$C34)^1+Forecast!H48/(1+$C34)^2+Forecast!I48/(1+$C34)^3+Forecast!J48/(1+$C34)^4+Forecast!K48/(1+$C34)^5+Forecast!K48*(1+F$33)/($C34-F$33)/(1+$C34)^5</f>
        <v>4328.768389395671</v>
      </c>
      <c r="G34" s="18">
        <f>Forecast!G48/(1+$C34)^1+Forecast!H48/(1+$C34)^2+Forecast!I48/(1+$C34)^3+Forecast!J48/(1+$C34)^4+Forecast!K48/(1+$C34)^5+Forecast!K48*(1+G$33)/($C34-G$33)/(1+$C34)^5</f>
        <v>4597.2057110132882</v>
      </c>
      <c r="H34" s="3"/>
      <c r="I34" s="3"/>
      <c r="J34" s="3"/>
      <c r="K34" s="3"/>
    </row>
    <row r="35" spans="3:11" ht="21" customHeight="1">
      <c r="C35" s="12">
        <v>0.10500000000000001</v>
      </c>
      <c r="D35" s="18">
        <f>Forecast!G48/(1+$C35)^1+Forecast!H48/(1+$C35)^2+Forecast!I48/(1+$C35)^3+Forecast!J48/(1+$C35)^4+Forecast!K48/(1+$C35)^5+Forecast!K48*(1+D$33)/($C35-D$33)/(1+$C35)^5</f>
        <v>3299.2781462229086</v>
      </c>
      <c r="E35" s="18">
        <f>Forecast!G48/(1+$C35)^1+Forecast!H48/(1+$C35)^2+Forecast!I48/(1+$C35)^3+Forecast!J48/(1+$C35)^4+Forecast!K48/(1+$C35)^5+Forecast!K48*(1+E$33)/($C35-E$33)/(1+$C35)^5</f>
        <v>3590.9866722696433</v>
      </c>
      <c r="F35" s="18">
        <f>Forecast!G48/(1+$C35)^1+Forecast!H48/(1+$C35)^2+Forecast!I48/(1+$C35)^3+Forecast!J48/(1+$C35)^4+Forecast!K48/(1+$C35)^5+Forecast!K48*(1+F$33)/($C35-F$33)/(1+$C35)^5</f>
        <v>3764.1886096098924</v>
      </c>
      <c r="G35" s="18">
        <f>Forecast!G48/(1+$C35)^1+Forecast!H48/(1+$C35)^2+Forecast!I48/(1+$C35)^3+Forecast!J48/(1+$C35)^4+Forecast!K48/(1+$C35)^5+Forecast!K48*(1+G$33)/($C35-G$33)/(1+$C35)^5</f>
        <v>3960.4841385955087</v>
      </c>
      <c r="H35" s="3"/>
      <c r="I35" s="3"/>
      <c r="J35" s="3"/>
      <c r="K35" s="3"/>
    </row>
    <row r="36" spans="3:11" ht="21" customHeight="1">
      <c r="C36" s="12">
        <v>0.115</v>
      </c>
      <c r="D36" s="18">
        <f>Forecast!G48/(1+$C36)^1+Forecast!H48/(1+$C36)^2+Forecast!I48/(1+$C36)^3+Forecast!J48/(1+$C36)^4+Forecast!K48/(1+$C36)^5+Forecast!K48*(1+D$33)/($C36-D$33)/(1+$C36)^5</f>
        <v>2965.0958110325919</v>
      </c>
      <c r="E36" s="18">
        <f>Forecast!G48/(1+$C36)^1+Forecast!H48/(1+$C36)^2+Forecast!I48/(1+$C36)^3+Forecast!J48/(1+$C36)^4+Forecast!K48/(1+$C36)^5+Forecast!K48*(1+E$33)/($C36-E$33)/(1+$C36)^5</f>
        <v>3192.882526309987</v>
      </c>
      <c r="F36" s="18">
        <f>Forecast!G48/(1+$C36)^1+Forecast!H48/(1+$C36)^2+Forecast!I48/(1+$C36)^3+Forecast!J48/(1+$C36)^4+Forecast!K48/(1+$C36)^5+Forecast!K48*(1+F$33)/($C36-F$33)/(1+$C36)^5</f>
        <v>3325.7581102218005</v>
      </c>
      <c r="G36" s="18">
        <f>Forecast!G48/(1+$C36)^1+Forecast!H48/(1+$C36)^2+Forecast!I48/(1+$C36)^3+Forecast!J48/(1+$C36)^4+Forecast!K48/(1+$C36)^5+Forecast!K48*(1+G$33)/($C36-G$33)/(1+$C36)^5</f>
        <v>3474.2661157702987</v>
      </c>
      <c r="H36" s="3"/>
      <c r="I36" s="3"/>
      <c r="J36" s="3"/>
      <c r="K36" s="3"/>
    </row>
    <row r="37" spans="3:11" ht="21" customHeight="1">
      <c r="C37" s="12">
        <v>0.125</v>
      </c>
      <c r="D37" s="18">
        <f>Forecast!G48/(1+$C37)^1+Forecast!H48/(1+$C37)^2+Forecast!I48/(1+$C37)^3+Forecast!J48/(1+$C37)^4+Forecast!K48/(1+$C37)^5+Forecast!K48*(1+D$33)/($C37-D$33)/(1+$C37)^5</f>
        <v>2689.6325873342716</v>
      </c>
      <c r="E37" s="18">
        <f>Forecast!G48/(1+$C37)^1+Forecast!H48/(1+$C37)^2+Forecast!I48/(1+$C37)^3+Forecast!J48/(1+$C37)^4+Forecast!K48/(1+$C37)^5+Forecast!K48*(1+E$33)/($C37-E$33)/(1+$C37)^5</f>
        <v>2871.202354526667</v>
      </c>
      <c r="F37" s="18">
        <f>Forecast!G48/(1+$C37)^1+Forecast!H48/(1+$C37)^2+Forecast!I48/(1+$C37)^3+Forecast!J48/(1+$C37)^4+Forecast!K48/(1+$C37)^5+Forecast!K48*(1+F$33)/($C37-F$33)/(1+$C37)^5</f>
        <v>2975.6049706622944</v>
      </c>
      <c r="G37" s="18">
        <f>Forecast!G48/(1+$C37)^1+Forecast!H48/(1+$C37)^2+Forecast!I48/(1+$C37)^3+Forecast!J48/(1+$C37)^4+Forecast!K48/(1+$C37)^5+Forecast!K48*(1+G$33)/($C37-G$33)/(1+$C37)^5</f>
        <v>3090.9973358648299</v>
      </c>
      <c r="H37" s="3"/>
      <c r="I37" s="3"/>
      <c r="J37" s="3"/>
      <c r="K37" s="3"/>
    </row>
    <row r="38" spans="3:11" ht="21" customHeight="1">
      <c r="C38" s="12">
        <v>0.13500000000000001</v>
      </c>
      <c r="D38" s="18">
        <f>Forecast!G48/(1+$C38)^1+Forecast!H48/(1+$C38)^2+Forecast!I48/(1+$C38)^3+Forecast!J48/(1+$C38)^4+Forecast!K48/(1+$C38)^5+Forecast!K48*(1+D$33)/($C38-D$33)/(1+$C38)^5</f>
        <v>2458.771700085641</v>
      </c>
      <c r="E38" s="18">
        <f>Forecast!G48/(1+$C38)^1+Forecast!H48/(1+$C38)^2+Forecast!I48/(1+$C38)^3+Forecast!J48/(1+$C38)^4+Forecast!K48/(1+$C38)^5+Forecast!K48*(1+E$33)/($C38-E$33)/(1+$C38)^5</f>
        <v>2605.9858198250154</v>
      </c>
      <c r="F38" s="18">
        <f>Forecast!G48/(1+$C38)^1+Forecast!H48/(1+$C38)^2+Forecast!I48/(1+$C38)^3+Forecast!J48/(1+$C38)^4+Forecast!K48/(1+$C38)^5+Forecast!K48*(1+F$33)/($C38-F$33)/(1+$C38)^5</f>
        <v>2689.6302060405683</v>
      </c>
      <c r="G38" s="18">
        <f>Forecast!G48/(1+$C38)^1+Forecast!H48/(1+$C38)^2+Forecast!I48/(1+$C38)^3+Forecast!J48/(1+$C38)^4+Forecast!K48/(1+$C38)^5+Forecast!K48*(1+G$33)/($C38-G$33)/(1+$C38)^5</f>
        <v>2781.2407242766512</v>
      </c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3AE08-5BBB-472A-ABEC-5DF0D2685902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138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45" customHeight="1">
      <c r="C8" s="21" t="s">
        <v>139</v>
      </c>
      <c r="D8" s="22" t="s">
        <v>6</v>
      </c>
      <c r="E8" s="22" t="s">
        <v>7</v>
      </c>
      <c r="F8" s="22" t="s">
        <v>9</v>
      </c>
      <c r="G8" s="22" t="s">
        <v>140</v>
      </c>
      <c r="H8" s="22"/>
      <c r="I8" s="22"/>
      <c r="J8" s="22"/>
      <c r="K8" s="22"/>
    </row>
    <row r="9" spans="3:11" ht="21" customHeight="1">
      <c r="C9" s="2" t="s">
        <v>26</v>
      </c>
      <c r="D9" s="3">
        <v>2696.3148381838132</v>
      </c>
      <c r="E9" s="3">
        <v>552.7445418276817</v>
      </c>
      <c r="F9" s="3">
        <v>3325.758110221801</v>
      </c>
      <c r="G9" s="3">
        <v>568.05575408468849</v>
      </c>
      <c r="H9" s="3"/>
      <c r="I9" s="3"/>
      <c r="J9" s="3"/>
      <c r="K9" s="3"/>
    </row>
    <row r="10" spans="3:11" ht="21" customHeight="1">
      <c r="C10" s="2" t="s">
        <v>27</v>
      </c>
      <c r="D10" s="3">
        <v>5077.6729886890525</v>
      </c>
      <c r="E10" s="3">
        <v>1167.8647873984819</v>
      </c>
      <c r="F10" s="3">
        <v>7138.77948687363</v>
      </c>
      <c r="G10" s="3">
        <v>635.6645414190956</v>
      </c>
      <c r="H10" s="3"/>
      <c r="I10" s="3"/>
      <c r="J10" s="3"/>
      <c r="K10" s="3"/>
    </row>
    <row r="11" spans="3:11" ht="21" customHeight="1">
      <c r="C11" s="2" t="s">
        <v>28</v>
      </c>
      <c r="D11" s="3">
        <v>817.10759911439368</v>
      </c>
      <c r="E11" s="3">
        <v>134.82275385387493</v>
      </c>
      <c r="F11" s="3">
        <v>739.90317919428526</v>
      </c>
      <c r="G11" s="3">
        <v>446.34242639963827</v>
      </c>
      <c r="H11" s="3"/>
      <c r="I11" s="3"/>
      <c r="J11" s="3"/>
      <c r="K11" s="3"/>
    </row>
    <row r="12" spans="3:11" ht="21" customHeight="1">
      <c r="C12" s="2"/>
      <c r="D12" s="3"/>
      <c r="E12" s="3"/>
      <c r="F12" s="3"/>
      <c r="G12" s="3"/>
      <c r="H12" s="3"/>
      <c r="I12" s="3"/>
      <c r="J12" s="3"/>
      <c r="K12" s="3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141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142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F9047-F2B9-444D-9003-AE980EA6F3AE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143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 t="s">
        <v>144</v>
      </c>
      <c r="D8" s="22"/>
      <c r="E8" s="22"/>
      <c r="F8" s="22" t="s">
        <v>145</v>
      </c>
      <c r="G8" s="22"/>
      <c r="H8" s="22"/>
      <c r="I8" s="22"/>
      <c r="J8" s="22"/>
      <c r="K8" s="22"/>
    </row>
    <row r="9" spans="3:11" ht="21" customHeight="1">
      <c r="C9" s="2"/>
      <c r="D9" s="3"/>
      <c r="E9" s="3"/>
      <c r="F9" s="3"/>
      <c r="G9" s="3"/>
      <c r="H9" s="3"/>
      <c r="I9" s="3"/>
      <c r="J9" s="3"/>
      <c r="K9" s="3"/>
    </row>
    <row r="10" spans="3:11" ht="21" customHeight="1">
      <c r="C10" s="47" t="s">
        <v>146</v>
      </c>
      <c r="D10" s="48"/>
      <c r="E10" s="48"/>
      <c r="F10" s="48" t="s">
        <v>147</v>
      </c>
      <c r="G10" s="48"/>
      <c r="H10" s="48"/>
      <c r="I10" s="48"/>
      <c r="J10" s="48"/>
      <c r="K10" s="48"/>
    </row>
    <row r="11" spans="3:11" ht="21" customHeight="1">
      <c r="C11" s="47"/>
      <c r="D11" s="48"/>
      <c r="E11" s="48"/>
      <c r="F11" s="48"/>
      <c r="G11" s="48"/>
      <c r="H11" s="48"/>
      <c r="I11" s="48"/>
      <c r="J11" s="48"/>
      <c r="K11" s="48"/>
    </row>
    <row r="12" spans="3:11" ht="21" customHeight="1">
      <c r="C12" s="47"/>
      <c r="D12" s="48"/>
      <c r="E12" s="48"/>
      <c r="F12" s="48"/>
      <c r="G12" s="48"/>
      <c r="H12" s="48"/>
      <c r="I12" s="48"/>
      <c r="J12" s="48"/>
      <c r="K12" s="48"/>
    </row>
    <row r="13" spans="3:11" ht="21" customHeight="1">
      <c r="C13" s="47" t="s">
        <v>148</v>
      </c>
      <c r="D13" s="48"/>
      <c r="E13" s="48"/>
      <c r="F13" s="48" t="s">
        <v>149</v>
      </c>
      <c r="G13" s="48"/>
      <c r="H13" s="48"/>
      <c r="I13" s="48"/>
      <c r="J13" s="48"/>
      <c r="K13" s="48"/>
    </row>
    <row r="14" spans="3:11" ht="21" customHeight="1">
      <c r="C14" s="47"/>
      <c r="D14" s="48"/>
      <c r="E14" s="48"/>
      <c r="F14" s="48"/>
      <c r="G14" s="48"/>
      <c r="H14" s="48"/>
      <c r="I14" s="48"/>
      <c r="J14" s="48"/>
      <c r="K14" s="48"/>
    </row>
    <row r="15" spans="3:11" ht="21" customHeight="1">
      <c r="C15" s="47"/>
      <c r="D15" s="48"/>
      <c r="E15" s="48"/>
      <c r="F15" s="48"/>
      <c r="G15" s="48"/>
      <c r="H15" s="48"/>
      <c r="I15" s="48"/>
      <c r="J15" s="48"/>
      <c r="K15" s="48"/>
    </row>
    <row r="16" spans="3:11" ht="21" customHeight="1">
      <c r="C16" s="47" t="s">
        <v>150</v>
      </c>
      <c r="D16" s="48"/>
      <c r="E16" s="48"/>
      <c r="F16" s="48" t="s">
        <v>151</v>
      </c>
      <c r="G16" s="48"/>
      <c r="H16" s="48"/>
      <c r="I16" s="48"/>
      <c r="J16" s="48"/>
      <c r="K16" s="48"/>
    </row>
    <row r="17" spans="3:11" ht="21" customHeight="1">
      <c r="C17" s="47"/>
      <c r="D17" s="48"/>
      <c r="E17" s="48"/>
      <c r="F17" s="48"/>
      <c r="G17" s="48"/>
      <c r="H17" s="48"/>
      <c r="I17" s="48"/>
      <c r="J17" s="48"/>
      <c r="K17" s="48"/>
    </row>
    <row r="18" spans="3:11" ht="21" customHeight="1">
      <c r="C18" s="47"/>
      <c r="D18" s="48"/>
      <c r="E18" s="48"/>
      <c r="F18" s="48"/>
      <c r="G18" s="48"/>
      <c r="H18" s="48"/>
      <c r="I18" s="48"/>
      <c r="J18" s="48"/>
      <c r="K18" s="48"/>
    </row>
    <row r="19" spans="3:11" ht="21" customHeight="1">
      <c r="C19" s="47" t="s">
        <v>152</v>
      </c>
      <c r="D19" s="48"/>
      <c r="E19" s="48"/>
      <c r="F19" s="48" t="s">
        <v>153</v>
      </c>
      <c r="G19" s="48"/>
      <c r="H19" s="48"/>
      <c r="I19" s="48"/>
      <c r="J19" s="48"/>
      <c r="K19" s="48"/>
    </row>
    <row r="20" spans="3:11" ht="21" customHeight="1">
      <c r="C20" s="47"/>
      <c r="D20" s="48"/>
      <c r="E20" s="48"/>
      <c r="F20" s="48"/>
      <c r="G20" s="48"/>
      <c r="H20" s="48"/>
      <c r="I20" s="48"/>
      <c r="J20" s="48"/>
      <c r="K20" s="48"/>
    </row>
    <row r="21" spans="3:11" ht="21" customHeight="1">
      <c r="C21" s="47"/>
      <c r="D21" s="48"/>
      <c r="E21" s="48"/>
      <c r="F21" s="48"/>
      <c r="G21" s="48"/>
      <c r="H21" s="48"/>
      <c r="I21" s="48"/>
      <c r="J21" s="48"/>
      <c r="K21" s="48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1" t="s">
        <v>154</v>
      </c>
      <c r="D27" s="22" t="s">
        <v>155</v>
      </c>
      <c r="E27" s="22" t="s">
        <v>156</v>
      </c>
      <c r="F27" s="22" t="s">
        <v>157</v>
      </c>
      <c r="G27" s="22" t="s">
        <v>158</v>
      </c>
      <c r="H27" s="3"/>
      <c r="I27" s="3"/>
      <c r="J27" s="3"/>
      <c r="K27" s="3"/>
    </row>
    <row r="28" spans="3:11" ht="45" customHeight="1">
      <c r="C28" s="21" t="s">
        <v>159</v>
      </c>
      <c r="D28" s="22" t="s">
        <v>160</v>
      </c>
      <c r="E28" s="22" t="s">
        <v>103</v>
      </c>
      <c r="F28" s="22" t="s">
        <v>161</v>
      </c>
      <c r="G28" s="22" t="s">
        <v>162</v>
      </c>
      <c r="H28" s="3"/>
      <c r="I28" s="3"/>
      <c r="J28" s="3"/>
      <c r="K28" s="3"/>
    </row>
    <row r="29" spans="3:11" ht="45" customHeight="1">
      <c r="C29" s="21" t="s">
        <v>163</v>
      </c>
      <c r="D29" s="22" t="s">
        <v>160</v>
      </c>
      <c r="E29" s="22" t="s">
        <v>164</v>
      </c>
      <c r="F29" s="22" t="s">
        <v>165</v>
      </c>
      <c r="G29" s="22" t="s">
        <v>166</v>
      </c>
      <c r="H29" s="3"/>
      <c r="I29" s="3"/>
      <c r="J29" s="3"/>
      <c r="K29" s="3"/>
    </row>
    <row r="30" spans="3:11" ht="45" customHeight="1">
      <c r="C30" s="21" t="s">
        <v>167</v>
      </c>
      <c r="D30" s="22" t="s">
        <v>160</v>
      </c>
      <c r="E30" s="22" t="s">
        <v>168</v>
      </c>
      <c r="F30" s="22" t="s">
        <v>169</v>
      </c>
      <c r="G30" s="22" t="s">
        <v>170</v>
      </c>
      <c r="H30" s="3"/>
      <c r="I30" s="3"/>
      <c r="J30" s="3"/>
      <c r="K30" s="3"/>
    </row>
    <row r="31" spans="3:11" ht="45" customHeight="1">
      <c r="C31" s="21" t="s">
        <v>171</v>
      </c>
      <c r="D31" s="22" t="s">
        <v>160</v>
      </c>
      <c r="E31" s="22" t="s">
        <v>172</v>
      </c>
      <c r="F31" s="22" t="s">
        <v>173</v>
      </c>
      <c r="G31" s="22" t="s">
        <v>174</v>
      </c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 t="s">
        <v>175</v>
      </c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9">
    <mergeCell ref="C19:E21"/>
    <mergeCell ref="F19:K21"/>
    <mergeCell ref="C6:K7"/>
    <mergeCell ref="C10:E12"/>
    <mergeCell ref="F10:K12"/>
    <mergeCell ref="C13:E15"/>
    <mergeCell ref="F13:K15"/>
    <mergeCell ref="C16:E18"/>
    <mergeCell ref="F16:K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90D6-B7D8-4D85-BA03-BAA52EBA7504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176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177</v>
      </c>
      <c r="D9" s="3"/>
      <c r="E9" s="3"/>
      <c r="F9" s="3">
        <v>1400</v>
      </c>
      <c r="G9" s="11">
        <f>F16</f>
        <v>2042.51106744</v>
      </c>
      <c r="H9" s="11">
        <f>G16</f>
        <v>2348.6514695393998</v>
      </c>
      <c r="I9" s="11">
        <f>H16</f>
        <v>2924.5025511310464</v>
      </c>
      <c r="J9" s="11">
        <f>I16</f>
        <v>3426.2279460162417</v>
      </c>
      <c r="K9" s="11">
        <f>J16</f>
        <v>4008.8114088496432</v>
      </c>
    </row>
    <row r="10" spans="3:11" ht="21" customHeight="1">
      <c r="C10" s="2" t="s">
        <v>178</v>
      </c>
      <c r="D10" s="3"/>
      <c r="E10" s="3"/>
      <c r="F10" s="18">
        <f>F14*CHOOSE(Assumptions!$D$4,1.2,1.45,0.85)</f>
        <v>1661.7777264000001</v>
      </c>
      <c r="G10" s="18">
        <f>G14*CHOOSE(Assumptions!$D$4,1.2,1.45,0.85)</f>
        <v>1681.7899872840003</v>
      </c>
      <c r="H10" s="18">
        <f>H14*CHOOSE(Assumptions!$D$4,1.2,1.45,0.85)</f>
        <v>2197.1875174568436</v>
      </c>
      <c r="I10" s="18">
        <f>I14*CHOOSE(Assumptions!$D$4,1.2,1.45,0.85)</f>
        <v>2482.590350596789</v>
      </c>
      <c r="J10" s="18">
        <f>J14*CHOOSE(Assumptions!$D$4,1.2,1.45,0.85)</f>
        <v>2902.363333108628</v>
      </c>
      <c r="K10" s="18">
        <f>K14*CHOOSE(Assumptions!$D$4,1.2,1.45,0.85)</f>
        <v>3276.4570887767309</v>
      </c>
    </row>
    <row r="11" spans="3:11" ht="21" customHeight="1">
      <c r="C11" s="2" t="s">
        <v>179</v>
      </c>
      <c r="D11" s="3"/>
      <c r="E11" s="3"/>
      <c r="F11" s="18">
        <f>CHOOSE(Assumptions!$D$4,0.55,0.65,0.4)</f>
        <v>0.55000000000000004</v>
      </c>
      <c r="G11" s="18">
        <f>CHOOSE(Assumptions!$D$4,0.55,0.65,0.4)</f>
        <v>0.55000000000000004</v>
      </c>
      <c r="H11" s="18">
        <f>CHOOSE(Assumptions!$D$4,0.55,0.65,0.4)</f>
        <v>0.55000000000000004</v>
      </c>
      <c r="I11" s="18">
        <f>CHOOSE(Assumptions!$D$4,0.55,0.65,0.4)</f>
        <v>0.55000000000000004</v>
      </c>
      <c r="J11" s="18">
        <f>CHOOSE(Assumptions!$D$4,0.55,0.65,0.4)</f>
        <v>0.55000000000000004</v>
      </c>
      <c r="K11" s="18">
        <f>CHOOSE(Assumptions!$D$4,0.55,0.65,0.4)</f>
        <v>0.55000000000000004</v>
      </c>
    </row>
    <row r="12" spans="3:11" ht="21" customHeight="1">
      <c r="C12" s="2" t="s">
        <v>180</v>
      </c>
      <c r="D12" s="3"/>
      <c r="E12" s="3"/>
      <c r="F12" s="11">
        <f t="shared" ref="F12:K12" si="0">F9*F11</f>
        <v>770.00000000000011</v>
      </c>
      <c r="G12" s="11">
        <f t="shared" si="0"/>
        <v>1123.3810870920001</v>
      </c>
      <c r="H12" s="11">
        <f t="shared" si="0"/>
        <v>1291.7583082466699</v>
      </c>
      <c r="I12" s="11">
        <f t="shared" si="0"/>
        <v>1608.4764031220757</v>
      </c>
      <c r="J12" s="11">
        <f t="shared" si="0"/>
        <v>1884.425370308933</v>
      </c>
      <c r="K12" s="11">
        <f t="shared" si="0"/>
        <v>2204.8462748673037</v>
      </c>
    </row>
    <row r="13" spans="3:11" ht="21" customHeight="1">
      <c r="C13" s="2" t="s">
        <v>181</v>
      </c>
      <c r="D13" s="3"/>
      <c r="E13" s="3"/>
      <c r="F13" s="11">
        <f t="shared" ref="F13:K13" si="1">F10*0.15</f>
        <v>249.26665896</v>
      </c>
      <c r="G13" s="11">
        <f t="shared" si="1"/>
        <v>252.26849809260003</v>
      </c>
      <c r="H13" s="11">
        <f t="shared" si="1"/>
        <v>329.57812761852654</v>
      </c>
      <c r="I13" s="11">
        <f t="shared" si="1"/>
        <v>372.38855258951833</v>
      </c>
      <c r="J13" s="11">
        <f t="shared" si="1"/>
        <v>435.35449996629421</v>
      </c>
      <c r="K13" s="11">
        <f t="shared" si="1"/>
        <v>491.46856331650963</v>
      </c>
    </row>
    <row r="14" spans="3:11" ht="21" customHeight="1">
      <c r="C14" s="2" t="s">
        <v>182</v>
      </c>
      <c r="D14" s="3"/>
      <c r="E14" s="3"/>
      <c r="F14" s="18">
        <f>Forecast!E9*(1+Assumptions!F10)*1.1</f>
        <v>1384.8147720000002</v>
      </c>
      <c r="G14" s="18">
        <f>Forecast!F9*(1+Assumptions!G10)*1.1</f>
        <v>1401.4916560700003</v>
      </c>
      <c r="H14" s="18">
        <f>Forecast!G9*(1+Assumptions!H10)*1.1</f>
        <v>1830.9895978807031</v>
      </c>
      <c r="I14" s="18">
        <f>Forecast!H9*(1+Assumptions!I10)*1.1</f>
        <v>2068.825292163991</v>
      </c>
      <c r="J14" s="18">
        <f>Forecast!I9*(1+Assumptions!J10)*1.1</f>
        <v>2418.6361109238569</v>
      </c>
      <c r="K14" s="18">
        <f>Forecast!J9*(1+Assumptions!K10)*1.1</f>
        <v>2730.3809073139423</v>
      </c>
    </row>
    <row r="15" spans="3:11" ht="21" customHeight="1">
      <c r="C15" s="2" t="s">
        <v>183</v>
      </c>
      <c r="D15" s="3"/>
      <c r="E15" s="3"/>
      <c r="F15" s="11">
        <f t="shared" ref="F15:K15" si="2">MIN(F14,F12+F13)</f>
        <v>1019.2666589600001</v>
      </c>
      <c r="G15" s="11">
        <f t="shared" si="2"/>
        <v>1375.6495851846003</v>
      </c>
      <c r="H15" s="11">
        <f t="shared" si="2"/>
        <v>1621.3364358651966</v>
      </c>
      <c r="I15" s="11">
        <f t="shared" si="2"/>
        <v>1980.8649557115941</v>
      </c>
      <c r="J15" s="11">
        <f t="shared" si="2"/>
        <v>2319.779870275227</v>
      </c>
      <c r="K15" s="11">
        <f t="shared" si="2"/>
        <v>2696.3148381838132</v>
      </c>
    </row>
    <row r="16" spans="3:11" ht="21" customHeight="1">
      <c r="C16" s="2" t="s">
        <v>184</v>
      </c>
      <c r="D16" s="3"/>
      <c r="E16" s="3"/>
      <c r="F16" s="11">
        <f t="shared" ref="F16:K16" si="3">F9+F10-F15</f>
        <v>2042.51106744</v>
      </c>
      <c r="G16" s="11">
        <f t="shared" si="3"/>
        <v>2348.6514695393998</v>
      </c>
      <c r="H16" s="11">
        <f t="shared" si="3"/>
        <v>2924.5025511310464</v>
      </c>
      <c r="I16" s="11">
        <f t="shared" si="3"/>
        <v>3426.2279460162417</v>
      </c>
      <c r="J16" s="11">
        <f t="shared" si="3"/>
        <v>4008.8114088496432</v>
      </c>
      <c r="K16" s="11">
        <f t="shared" si="3"/>
        <v>4588.9536594425608</v>
      </c>
    </row>
    <row r="17" spans="3:11" ht="21" customHeight="1">
      <c r="C17" s="2" t="s">
        <v>185</v>
      </c>
      <c r="D17" s="3"/>
      <c r="E17" s="3"/>
      <c r="F17" s="11">
        <f t="shared" ref="F17:K17" si="4">F10/F15</f>
        <v>1.6303660203067769</v>
      </c>
      <c r="G17" s="11">
        <f t="shared" si="4"/>
        <v>1.2225424304244736</v>
      </c>
      <c r="H17" s="11">
        <f t="shared" si="4"/>
        <v>1.3551706289042684</v>
      </c>
      <c r="I17" s="11">
        <f t="shared" si="4"/>
        <v>1.2532860170192461</v>
      </c>
      <c r="J17" s="11">
        <f t="shared" si="4"/>
        <v>1.2511373903612162</v>
      </c>
      <c r="K17" s="11">
        <f t="shared" si="4"/>
        <v>1.2151611682646417</v>
      </c>
    </row>
    <row r="18" spans="3:11" ht="21" customHeight="1">
      <c r="C18" s="2" t="s">
        <v>186</v>
      </c>
      <c r="D18" s="3"/>
      <c r="E18" s="3"/>
      <c r="F18" s="11">
        <f t="shared" ref="F18:K18" si="5">F16-(F9+F10-F15)</f>
        <v>0</v>
      </c>
      <c r="G18" s="11">
        <f t="shared" si="5"/>
        <v>0</v>
      </c>
      <c r="H18" s="11">
        <f t="shared" si="5"/>
        <v>0</v>
      </c>
      <c r="I18" s="11">
        <f t="shared" si="5"/>
        <v>0</v>
      </c>
      <c r="J18" s="11">
        <f t="shared" si="5"/>
        <v>0</v>
      </c>
      <c r="K18" s="11">
        <f t="shared" si="5"/>
        <v>0</v>
      </c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 t="s">
        <v>187</v>
      </c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 t="s">
        <v>188</v>
      </c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0C93-2223-47CA-B7BE-9631A015E9CC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2" customWidth="1"/>
    <col min="4" max="10" width="15" customWidth="1"/>
    <col min="11" max="11" width="18.69921875" customWidth="1"/>
  </cols>
  <sheetData>
    <row r="1" spans="3:11">
      <c r="C1" s="23"/>
    </row>
    <row r="2" spans="3:11" ht="21" customHeight="1">
      <c r="C2" s="5" t="s">
        <v>189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219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220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 t="s">
        <v>190</v>
      </c>
      <c r="D8" s="22" t="s">
        <v>17</v>
      </c>
      <c r="E8" s="22" t="s">
        <v>191</v>
      </c>
      <c r="F8" s="22" t="s">
        <v>192</v>
      </c>
      <c r="G8" s="22" t="s">
        <v>54</v>
      </c>
      <c r="H8" s="22" t="s">
        <v>193</v>
      </c>
      <c r="I8" s="24" t="s">
        <v>194</v>
      </c>
      <c r="J8" s="24" t="s">
        <v>195</v>
      </c>
      <c r="K8" s="24" t="s">
        <v>196</v>
      </c>
    </row>
    <row r="9" spans="3:11" ht="34.049999999999997" customHeight="1">
      <c r="C9" s="2" t="s">
        <v>197</v>
      </c>
      <c r="D9" s="3">
        <v>27448</v>
      </c>
      <c r="E9" s="3"/>
      <c r="F9" s="3">
        <v>9894</v>
      </c>
      <c r="G9" s="3">
        <v>622</v>
      </c>
      <c r="H9" s="3">
        <v>168021.84237060545</v>
      </c>
      <c r="I9" s="24" t="s">
        <v>198</v>
      </c>
      <c r="J9" s="25">
        <f>(H9+F9-G9)/D9</f>
        <v>6.4592626920214746</v>
      </c>
      <c r="K9" s="24" t="s">
        <v>199</v>
      </c>
    </row>
    <row r="10" spans="3:11" ht="34.049999999999997" customHeight="1">
      <c r="C10" s="2" t="s">
        <v>200</v>
      </c>
      <c r="D10" s="3">
        <v>5844.6</v>
      </c>
      <c r="E10" s="3">
        <v>1414.8999999999999</v>
      </c>
      <c r="F10" s="3">
        <v>2325.4</v>
      </c>
      <c r="G10" s="3">
        <v>482.5</v>
      </c>
      <c r="H10" s="3">
        <v>25596.441048214569</v>
      </c>
      <c r="I10" s="25">
        <f>(H10+F10-G10)/E10</f>
        <v>19.393130997395275</v>
      </c>
      <c r="J10" s="25">
        <f>(H10+F10-G10)/D10</f>
        <v>4.6948193286477382</v>
      </c>
      <c r="K10" s="24" t="s">
        <v>199</v>
      </c>
    </row>
    <row r="11" spans="3:11" ht="34.049999999999997" customHeight="1">
      <c r="C11" s="2" t="s">
        <v>201</v>
      </c>
      <c r="D11" s="3">
        <v>3893.1</v>
      </c>
      <c r="E11" s="3"/>
      <c r="F11" s="3">
        <v>1559.8</v>
      </c>
      <c r="G11" s="3"/>
      <c r="H11" s="3"/>
      <c r="I11" s="24" t="s">
        <v>198</v>
      </c>
      <c r="J11" s="24" t="s">
        <v>198</v>
      </c>
      <c r="K11" s="24" t="s">
        <v>199</v>
      </c>
    </row>
    <row r="12" spans="3:11" ht="34.049999999999997" customHeight="1">
      <c r="C12" s="2"/>
      <c r="D12" s="3"/>
      <c r="E12" s="3"/>
      <c r="F12" s="3"/>
      <c r="G12" s="3"/>
      <c r="H12" s="3"/>
      <c r="I12" s="24"/>
      <c r="J12" s="24"/>
      <c r="K12" s="24"/>
    </row>
    <row r="13" spans="3:11" ht="21" customHeight="1">
      <c r="C13" s="2"/>
      <c r="D13" s="3"/>
      <c r="E13" s="3"/>
      <c r="F13" s="3"/>
      <c r="G13" s="3"/>
      <c r="H13" s="3"/>
      <c r="I13" s="3"/>
      <c r="J13" s="3"/>
      <c r="K13" s="3"/>
    </row>
    <row r="14" spans="3:11" ht="21" customHeight="1">
      <c r="C14" s="2"/>
      <c r="D14" s="3"/>
      <c r="E14" s="3"/>
      <c r="F14" s="3"/>
      <c r="G14" s="3"/>
      <c r="H14" s="3"/>
      <c r="I14" s="3"/>
      <c r="J14" s="3"/>
      <c r="K14" s="3"/>
    </row>
    <row r="15" spans="3:11" ht="21" customHeight="1">
      <c r="C15" s="2" t="s">
        <v>202</v>
      </c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 t="s">
        <v>203</v>
      </c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 t="s">
        <v>204</v>
      </c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C0A8-7ED1-4F10-96F7-94C7018C8FF4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205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9" t="s">
        <v>3</v>
      </c>
      <c r="D6" s="50"/>
      <c r="E6" s="50"/>
      <c r="F6" s="50"/>
      <c r="G6" s="50"/>
      <c r="H6" s="50"/>
      <c r="I6" s="50"/>
      <c r="J6" s="50"/>
      <c r="K6" s="50"/>
    </row>
    <row r="7" spans="3:11" ht="24" customHeight="1">
      <c r="C7" s="49"/>
      <c r="D7" s="49"/>
      <c r="E7" s="49"/>
      <c r="F7" s="49"/>
      <c r="G7" s="49"/>
      <c r="H7" s="49"/>
      <c r="I7" s="49"/>
      <c r="J7" s="49"/>
      <c r="K7" s="49"/>
    </row>
    <row r="8" spans="3:11" ht="37.950000000000003" customHeight="1">
      <c r="C8" s="21" t="s">
        <v>206</v>
      </c>
      <c r="D8" s="22" t="s">
        <v>207</v>
      </c>
      <c r="E8" s="22" t="s">
        <v>208</v>
      </c>
      <c r="F8" s="22" t="s">
        <v>209</v>
      </c>
      <c r="G8" s="22"/>
      <c r="H8" s="22"/>
      <c r="I8" s="22"/>
      <c r="J8" s="22"/>
      <c r="K8" s="22"/>
    </row>
    <row r="9" spans="3:11" ht="21" customHeight="1">
      <c r="C9" s="12">
        <v>0.05</v>
      </c>
      <c r="D9" s="18">
        <f>Forecast!F9*(1+C9)^1*(Forecast!K48/Forecast!K9)/(1+Assumptions!$D$71)^1+Forecast!F9*(1+C9)^2*(Forecast!K48/Forecast!K9)/(1+Assumptions!$D$71)^2+Forecast!F9*(1+C9)^3*(Forecast!K48/Forecast!K9)/(1+Assumptions!$D$71)^3+Forecast!F9*(1+C9)^4*(Forecast!K48/Forecast!K9)/(1+Assumptions!$D$71)^4+Forecast!F9*(1+C9)^5*(Forecast!K48/Forecast!K9)/(1+Assumptions!$D$71)^5+Forecast!F9*(1+C9)^5*(Forecast!K48/Forecast!K9)*(1+Assumptions!$D$72)/(Assumptions!$D$71-Assumptions!$D$72)/(1+Assumptions!$D$71)^5</f>
        <v>1676.0609373115358</v>
      </c>
      <c r="E9" s="3">
        <v>6757.0793283399662</v>
      </c>
      <c r="F9" s="11">
        <f t="shared" ref="F9:F15" si="0">D9-E9</f>
        <v>-5081.0183910284304</v>
      </c>
      <c r="G9" s="3"/>
      <c r="H9" s="3"/>
      <c r="I9" s="3"/>
      <c r="J9" s="3"/>
      <c r="K9" s="3"/>
    </row>
    <row r="10" spans="3:11" ht="21" customHeight="1">
      <c r="C10" s="12">
        <v>0.1</v>
      </c>
      <c r="D10" s="18">
        <f>Forecast!F9*(1+C10)^1*(Forecast!K48/Forecast!K9)/(1+Assumptions!$D$71)^1+Forecast!F9*(1+C10)^2*(Forecast!K48/Forecast!K9)/(1+Assumptions!$D$71)^2+Forecast!F9*(1+C10)^3*(Forecast!K48/Forecast!K9)/(1+Assumptions!$D$71)^3+Forecast!F9*(1+C10)^4*(Forecast!K48/Forecast!K9)/(1+Assumptions!$D$71)^4+Forecast!F9*(1+C10)^5*(Forecast!K48/Forecast!K9)/(1+Assumptions!$D$71)^5+Forecast!F9*(1+C10)^5*(Forecast!K48/Forecast!K9)*(1+Assumptions!$D$72)/(Assumptions!$D$71-Assumptions!$D$72)/(1+Assumptions!$D$71)^5</f>
        <v>2050.4273044104498</v>
      </c>
      <c r="E10" s="3">
        <v>6757.0793283399662</v>
      </c>
      <c r="F10" s="11">
        <f t="shared" si="0"/>
        <v>-4706.6520239295169</v>
      </c>
      <c r="G10" s="3"/>
      <c r="H10" s="3"/>
      <c r="I10" s="3"/>
      <c r="J10" s="3"/>
      <c r="K10" s="3"/>
    </row>
    <row r="11" spans="3:11" ht="21" customHeight="1">
      <c r="C11" s="12">
        <v>0.15</v>
      </c>
      <c r="D11" s="18">
        <f>Forecast!F9*(1+C11)^1*(Forecast!K48/Forecast!K9)/(1+Assumptions!$D$71)^1+Forecast!F9*(1+C11)^2*(Forecast!K48/Forecast!K9)/(1+Assumptions!$D$71)^2+Forecast!F9*(1+C11)^3*(Forecast!K48/Forecast!K9)/(1+Assumptions!$D$71)^3+Forecast!F9*(1+C11)^4*(Forecast!K48/Forecast!K9)/(1+Assumptions!$D$71)^4+Forecast!F9*(1+C11)^5*(Forecast!K48/Forecast!K9)/(1+Assumptions!$D$71)^5+Forecast!F9*(1+C11)^5*(Forecast!K48/Forecast!K9)*(1+Assumptions!$D$72)/(Assumptions!$D$71-Assumptions!$D$72)/(1+Assumptions!$D$71)^5</f>
        <v>2493.6056310000936</v>
      </c>
      <c r="E11" s="3">
        <v>6757.0793283399662</v>
      </c>
      <c r="F11" s="11">
        <f t="shared" si="0"/>
        <v>-4263.4736973398722</v>
      </c>
      <c r="G11" s="3"/>
      <c r="H11" s="3"/>
      <c r="I11" s="3"/>
      <c r="J11" s="3"/>
      <c r="K11" s="3"/>
    </row>
    <row r="12" spans="3:11" ht="21" customHeight="1">
      <c r="C12" s="12">
        <v>0.2</v>
      </c>
      <c r="D12" s="18">
        <f>Forecast!F9*(1+C12)^1*(Forecast!K48/Forecast!K9)/(1+Assumptions!$D$71)^1+Forecast!F9*(1+C12)^2*(Forecast!K48/Forecast!K9)/(1+Assumptions!$D$71)^2+Forecast!F9*(1+C12)^3*(Forecast!K48/Forecast!K9)/(1+Assumptions!$D$71)^3+Forecast!F9*(1+C12)^4*(Forecast!K48/Forecast!K9)/(1+Assumptions!$D$71)^4+Forecast!F9*(1+C12)^5*(Forecast!K48/Forecast!K9)/(1+Assumptions!$D$71)^5+Forecast!F9*(1+C12)^5*(Forecast!K48/Forecast!K9)*(1+Assumptions!$D$72)/(Assumptions!$D$71-Assumptions!$D$72)/(1+Assumptions!$D$71)^5</f>
        <v>3015.0211510029712</v>
      </c>
      <c r="E12" s="3">
        <v>6757.0793283399662</v>
      </c>
      <c r="F12" s="11">
        <f t="shared" si="0"/>
        <v>-3742.058177336995</v>
      </c>
      <c r="G12" s="3"/>
      <c r="H12" s="3"/>
      <c r="I12" s="3"/>
      <c r="J12" s="3"/>
      <c r="K12" s="3"/>
    </row>
    <row r="13" spans="3:11" ht="21" customHeight="1">
      <c r="C13" s="12">
        <v>0.25</v>
      </c>
      <c r="D13" s="18">
        <f>Forecast!F9*(1+C13)^1*(Forecast!K48/Forecast!K9)/(1+Assumptions!$D$71)^1+Forecast!F9*(1+C13)^2*(Forecast!K48/Forecast!K9)/(1+Assumptions!$D$71)^2+Forecast!F9*(1+C13)^3*(Forecast!K48/Forecast!K9)/(1+Assumptions!$D$71)^3+Forecast!F9*(1+C13)^4*(Forecast!K48/Forecast!K9)/(1+Assumptions!$D$71)^4+Forecast!F9*(1+C13)^5*(Forecast!K48/Forecast!K9)/(1+Assumptions!$D$71)^5+Forecast!F9*(1+C13)^5*(Forecast!K48/Forecast!K9)*(1+Assumptions!$D$72)/(Assumptions!$D$71-Assumptions!$D$72)/(1+Assumptions!$D$71)^5</f>
        <v>3624.935124968667</v>
      </c>
      <c r="E13" s="3">
        <v>6757.0793283399662</v>
      </c>
      <c r="F13" s="11">
        <f t="shared" si="0"/>
        <v>-3132.1442033712992</v>
      </c>
      <c r="G13" s="3"/>
      <c r="H13" s="3"/>
      <c r="I13" s="3"/>
      <c r="J13" s="3"/>
      <c r="K13" s="3"/>
    </row>
    <row r="14" spans="3:11" ht="21" customHeight="1">
      <c r="C14" s="12">
        <v>0.3</v>
      </c>
      <c r="D14" s="18">
        <f>Forecast!F9*(1+C14)^1*(Forecast!K48/Forecast!K9)/(1+Assumptions!$D$71)^1+Forecast!F9*(1+C14)^2*(Forecast!K48/Forecast!K9)/(1+Assumptions!$D$71)^2+Forecast!F9*(1+C14)^3*(Forecast!K48/Forecast!K9)/(1+Assumptions!$D$71)^3+Forecast!F9*(1+C14)^4*(Forecast!K48/Forecast!K9)/(1+Assumptions!$D$71)^4+Forecast!F9*(1+C14)^5*(Forecast!K48/Forecast!K9)/(1+Assumptions!$D$71)^5+Forecast!F9*(1+C14)^5*(Forecast!K48/Forecast!K9)*(1+Assumptions!$D$72)/(Assumptions!$D$71-Assumptions!$D$72)/(1+Assumptions!$D$71)^5</f>
        <v>4334.4806288849459</v>
      </c>
      <c r="E14" s="3">
        <v>6757.0793283399662</v>
      </c>
      <c r="F14" s="11">
        <f t="shared" si="0"/>
        <v>-2422.5986994550203</v>
      </c>
      <c r="G14" s="3"/>
      <c r="H14" s="3"/>
      <c r="I14" s="3"/>
      <c r="J14" s="3"/>
      <c r="K14" s="3"/>
    </row>
    <row r="15" spans="3:11" ht="21" customHeight="1">
      <c r="C15" s="12">
        <v>0.35</v>
      </c>
      <c r="D15" s="18">
        <f>Forecast!F9*(1+C15)^1*(Forecast!K48/Forecast!K9)/(1+Assumptions!$D$71)^1+Forecast!F9*(1+C15)^2*(Forecast!K48/Forecast!K9)/(1+Assumptions!$D$71)^2+Forecast!F9*(1+C15)^3*(Forecast!K48/Forecast!K9)/(1+Assumptions!$D$71)^3+Forecast!F9*(1+C15)^4*(Forecast!K48/Forecast!K9)/(1+Assumptions!$D$71)^4+Forecast!F9*(1+C15)^5*(Forecast!K48/Forecast!K9)/(1+Assumptions!$D$71)^5+Forecast!F9*(1+C15)^5*(Forecast!K48/Forecast!K9)*(1+Assumptions!$D$72)/(Assumptions!$D$71-Assumptions!$D$72)/(1+Assumptions!$D$71)^5</f>
        <v>5155.6983429888378</v>
      </c>
      <c r="E15" s="3">
        <v>6757.0793283399662</v>
      </c>
      <c r="F15" s="11">
        <f t="shared" si="0"/>
        <v>-1601.3809853511284</v>
      </c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/>
      <c r="D18" s="3"/>
      <c r="E18" s="3"/>
      <c r="F18" s="3"/>
      <c r="G18" s="3"/>
      <c r="H18" s="3"/>
      <c r="I18" s="3"/>
      <c r="J18" s="3"/>
      <c r="K18" s="3"/>
    </row>
    <row r="19" spans="3:11" ht="21" customHeight="1">
      <c r="C19" s="2" t="s">
        <v>210</v>
      </c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/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mergeCells count="1">
    <mergeCell ref="C6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B4CC-A2F2-43BF-9D88-347A0785AC98}">
  <dimension ref="C1:K75"/>
  <sheetViews>
    <sheetView showGridLines="0" workbookViewId="0" tabSelecte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8"/>
  <cols>
    <col min="1" max="2" width="2" customWidth="1"/>
    <col min="3" max="3" width="43" customWidth="1"/>
    <col min="4" max="11" width="15" customWidth="1"/>
  </cols>
  <sheetData>
    <row r="1" spans="3:11">
      <c r="C1" s="23"/>
    </row>
    <row r="2" spans="3:11" ht="21" customHeight="1">
      <c r="C2" s="5" t="s">
        <v>211</v>
      </c>
      <c r="D2" s="6"/>
      <c r="E2" s="6"/>
      <c r="F2" s="6"/>
      <c r="G2" s="6"/>
      <c r="H2" s="6"/>
      <c r="I2" s="6"/>
      <c r="J2" s="6"/>
      <c r="K2" s="6"/>
    </row>
    <row r="3" spans="3:11" ht="21" customHeight="1">
      <c r="C3" s="1" t="s">
        <v>20</v>
      </c>
      <c r="D3" s="1"/>
      <c r="E3" s="1"/>
      <c r="F3" s="1"/>
      <c r="G3" s="1"/>
      <c r="H3" s="1"/>
      <c r="I3" s="1"/>
      <c r="J3" s="1"/>
      <c r="K3" s="1"/>
    </row>
    <row r="4" spans="3:11" ht="21" customHeight="1">
      <c r="C4" s="2"/>
      <c r="D4" s="2"/>
      <c r="E4" s="2"/>
      <c r="F4" s="2"/>
      <c r="G4" s="2"/>
      <c r="H4" s="2"/>
      <c r="I4" s="2"/>
      <c r="J4" s="2"/>
      <c r="K4" s="2"/>
    </row>
    <row r="5" spans="3:11" ht="21" customHeight="1">
      <c r="C5" s="2"/>
      <c r="D5" s="2"/>
      <c r="E5" s="2"/>
      <c r="F5" s="2"/>
      <c r="G5" s="2"/>
      <c r="H5" s="2"/>
      <c r="I5" s="2"/>
      <c r="J5" s="2"/>
      <c r="K5" s="2"/>
    </row>
    <row r="6" spans="3:11" ht="24" customHeight="1">
      <c r="C6" s="4"/>
      <c r="D6" s="7">
        <v>45657</v>
      </c>
      <c r="E6" s="7">
        <v>46022</v>
      </c>
      <c r="F6" s="7">
        <v>46387</v>
      </c>
      <c r="G6" s="7">
        <v>46752</v>
      </c>
      <c r="H6" s="7">
        <v>47118</v>
      </c>
      <c r="I6" s="7">
        <v>47483</v>
      </c>
      <c r="J6" s="7">
        <v>47848</v>
      </c>
      <c r="K6" s="7">
        <v>48213</v>
      </c>
    </row>
    <row r="7" spans="3:11" ht="24" customHeight="1">
      <c r="C7" s="4"/>
      <c r="D7" s="4" t="s">
        <v>22</v>
      </c>
      <c r="E7" s="4" t="s">
        <v>22</v>
      </c>
      <c r="F7" s="4" t="s">
        <v>23</v>
      </c>
      <c r="G7" s="4" t="s">
        <v>24</v>
      </c>
      <c r="H7" s="4" t="s">
        <v>24</v>
      </c>
      <c r="I7" s="4" t="s">
        <v>24</v>
      </c>
      <c r="J7" s="4" t="s">
        <v>24</v>
      </c>
      <c r="K7" s="4" t="s">
        <v>24</v>
      </c>
    </row>
    <row r="8" spans="3:11" ht="37.950000000000003" customHeight="1">
      <c r="C8" s="21"/>
      <c r="D8" s="22"/>
      <c r="E8" s="22"/>
      <c r="F8" s="22"/>
      <c r="G8" s="22"/>
      <c r="H8" s="22"/>
      <c r="I8" s="22"/>
      <c r="J8" s="22"/>
      <c r="K8" s="22"/>
    </row>
    <row r="9" spans="3:11" ht="21" customHeight="1">
      <c r="C9" s="2" t="s">
        <v>212</v>
      </c>
      <c r="D9" s="3"/>
      <c r="E9" s="3"/>
      <c r="F9" s="18">
        <f>Forecast!F46</f>
        <v>0</v>
      </c>
      <c r="G9" s="18">
        <f>Forecast!G46</f>
        <v>0</v>
      </c>
      <c r="H9" s="18">
        <f>Forecast!H46</f>
        <v>0</v>
      </c>
      <c r="I9" s="18">
        <f>Forecast!I46</f>
        <v>0</v>
      </c>
      <c r="J9" s="18">
        <f>Forecast!J46</f>
        <v>0</v>
      </c>
      <c r="K9" s="18">
        <f>Forecast!K46</f>
        <v>0</v>
      </c>
    </row>
    <row r="10" spans="3:11" ht="21" customHeight="1">
      <c r="C10" s="2" t="s">
        <v>116</v>
      </c>
      <c r="D10" s="3"/>
      <c r="E10" s="3"/>
      <c r="F10" s="18">
        <f>'Debt and Cash'!F18</f>
        <v>0</v>
      </c>
      <c r="G10" s="18">
        <f>'Debt and Cash'!G18</f>
        <v>0</v>
      </c>
      <c r="H10" s="18">
        <f>'Debt and Cash'!H18</f>
        <v>0</v>
      </c>
      <c r="I10" s="18">
        <f>'Debt and Cash'!I18</f>
        <v>0</v>
      </c>
      <c r="J10" s="18">
        <f>'Debt and Cash'!J18</f>
        <v>0</v>
      </c>
      <c r="K10" s="18">
        <f>'Debt and Cash'!K18</f>
        <v>0</v>
      </c>
    </row>
    <row r="11" spans="3:11" ht="21" customHeight="1">
      <c r="C11" s="2" t="s">
        <v>213</v>
      </c>
      <c r="D11" s="3"/>
      <c r="E11" s="3"/>
      <c r="F11" s="18">
        <f>Forecast!F36-(Forecast!F35+Forecast!F34)</f>
        <v>0</v>
      </c>
      <c r="G11" s="18">
        <f>Forecast!G36-(Forecast!G35+Forecast!G34)</f>
        <v>0</v>
      </c>
      <c r="H11" s="18">
        <f>Forecast!H36-(Forecast!H35+Forecast!H34)</f>
        <v>0</v>
      </c>
      <c r="I11" s="18">
        <f>Forecast!I36-(Forecast!I35+Forecast!I34)</f>
        <v>0</v>
      </c>
      <c r="J11" s="18">
        <f>Forecast!J36-(Forecast!J35+Forecast!J34)</f>
        <v>0</v>
      </c>
      <c r="K11" s="18">
        <f>Forecast!K36-(Forecast!K35+Forecast!K34)</f>
        <v>0</v>
      </c>
    </row>
    <row r="12" spans="3:11" ht="21" customHeight="1">
      <c r="C12" s="2" t="s">
        <v>214</v>
      </c>
      <c r="D12" s="3"/>
      <c r="E12" s="3"/>
      <c r="F12" s="18">
        <f>Forecast!F40-(Forecast!F36+Forecast!F21+Forecast!F22+Forecast!F39)</f>
        <v>0</v>
      </c>
      <c r="G12" s="18">
        <f>Forecast!G40-(Forecast!G36+Forecast!G21+Forecast!G22+Forecast!G39)</f>
        <v>0</v>
      </c>
      <c r="H12" s="18">
        <f>Forecast!H40-(Forecast!H36+Forecast!H21+Forecast!H22+Forecast!H39)</f>
        <v>0</v>
      </c>
      <c r="I12" s="18">
        <f>Forecast!I40-(Forecast!I36+Forecast!I21+Forecast!I22+Forecast!I39)</f>
        <v>0</v>
      </c>
      <c r="J12" s="18">
        <f>Forecast!J40-(Forecast!J36+Forecast!J21+Forecast!J22+Forecast!J39)</f>
        <v>0</v>
      </c>
      <c r="K12" s="18">
        <f>Forecast!K40-(Forecast!K36+Forecast!K21+Forecast!K22+Forecast!K39)</f>
        <v>0</v>
      </c>
    </row>
    <row r="13" spans="3:11" ht="21" customHeight="1">
      <c r="C13" s="2" t="s">
        <v>215</v>
      </c>
      <c r="D13" s="3"/>
      <c r="E13" s="3"/>
      <c r="F13" s="11">
        <f>0</f>
        <v>0</v>
      </c>
      <c r="G13" s="11">
        <f>0</f>
        <v>0</v>
      </c>
      <c r="H13" s="11">
        <f>0</f>
        <v>0</v>
      </c>
      <c r="I13" s="11">
        <f>0</f>
        <v>0</v>
      </c>
      <c r="J13" s="11">
        <f>0</f>
        <v>0</v>
      </c>
      <c r="K13" s="11">
        <f>0</f>
        <v>0</v>
      </c>
    </row>
    <row r="14" spans="3:11" ht="21" customHeight="1">
      <c r="C14" s="2" t="s">
        <v>216</v>
      </c>
      <c r="D14" s="3"/>
      <c r="E14" s="3"/>
      <c r="F14" s="18">
        <f>Assumptions!$D$71-Assumptions!$D$72</f>
        <v>0.09</v>
      </c>
      <c r="G14" s="18">
        <f>Assumptions!$D$71-Assumptions!$D$72</f>
        <v>0.09</v>
      </c>
      <c r="H14" s="18">
        <f>Assumptions!$D$71-Assumptions!$D$72</f>
        <v>0.09</v>
      </c>
      <c r="I14" s="18">
        <f>Assumptions!$D$71-Assumptions!$D$72</f>
        <v>0.09</v>
      </c>
      <c r="J14" s="18">
        <f>Assumptions!$D$71-Assumptions!$D$72</f>
        <v>0.09</v>
      </c>
      <c r="K14" s="18">
        <f>Assumptions!$D$71-Assumptions!$D$72</f>
        <v>0.09</v>
      </c>
    </row>
    <row r="15" spans="3:11" ht="21" customHeight="1">
      <c r="C15" s="2"/>
      <c r="D15" s="3"/>
      <c r="E15" s="3"/>
      <c r="F15" s="3"/>
      <c r="G15" s="3"/>
      <c r="H15" s="3"/>
      <c r="I15" s="3"/>
      <c r="J15" s="3"/>
      <c r="K15" s="3"/>
    </row>
    <row r="16" spans="3:11" ht="21" customHeight="1">
      <c r="C16" s="2"/>
      <c r="D16" s="3"/>
      <c r="E16" s="3"/>
      <c r="F16" s="3"/>
      <c r="G16" s="3"/>
      <c r="H16" s="3"/>
      <c r="I16" s="3"/>
      <c r="J16" s="3"/>
      <c r="K16" s="3"/>
    </row>
    <row r="17" spans="3:11" ht="21" customHeight="1">
      <c r="C17" s="2"/>
      <c r="D17" s="3"/>
      <c r="E17" s="3"/>
      <c r="F17" s="3"/>
      <c r="G17" s="3"/>
      <c r="H17" s="3"/>
      <c r="I17" s="3"/>
      <c r="J17" s="3"/>
      <c r="K17" s="3"/>
    </row>
    <row r="18" spans="3:11" ht="21" customHeight="1">
      <c r="C18" s="2" t="s">
        <v>217</v>
      </c>
      <c r="D18" s="3">
        <v>1E-3</v>
      </c>
      <c r="E18" s="3"/>
      <c r="F18" s="3"/>
      <c r="G18" s="3"/>
      <c r="H18" s="3"/>
      <c r="I18" s="3"/>
      <c r="J18" s="3"/>
      <c r="K18" s="3"/>
    </row>
    <row r="19" spans="3:11" ht="21" customHeight="1">
      <c r="C19" s="2"/>
      <c r="D19" s="3"/>
      <c r="E19" s="3"/>
      <c r="F19" s="3"/>
      <c r="G19" s="3"/>
      <c r="H19" s="3"/>
      <c r="I19" s="3"/>
      <c r="J19" s="3"/>
      <c r="K19" s="3"/>
    </row>
    <row r="20" spans="3:11" ht="21" customHeight="1">
      <c r="C20" s="2" t="s">
        <v>218</v>
      </c>
      <c r="D20" s="3"/>
      <c r="E20" s="3"/>
      <c r="F20" s="3"/>
      <c r="G20" s="3"/>
      <c r="H20" s="3"/>
      <c r="I20" s="3"/>
      <c r="J20" s="3"/>
      <c r="K20" s="3"/>
    </row>
    <row r="21" spans="3:11" ht="21" customHeight="1">
      <c r="C21" s="2"/>
      <c r="D21" s="3"/>
      <c r="E21" s="3"/>
      <c r="F21" s="3"/>
      <c r="G21" s="3"/>
      <c r="H21" s="3"/>
      <c r="I21" s="3"/>
      <c r="J21" s="3"/>
      <c r="K21" s="3"/>
    </row>
    <row r="22" spans="3:11" ht="21" customHeight="1">
      <c r="C22" s="2"/>
      <c r="D22" s="3"/>
      <c r="E22" s="3"/>
      <c r="F22" s="3"/>
      <c r="G22" s="3"/>
      <c r="H22" s="3"/>
      <c r="I22" s="3"/>
      <c r="J22" s="3"/>
      <c r="K22" s="3"/>
    </row>
    <row r="23" spans="3:11" ht="21" customHeight="1">
      <c r="C23" s="2"/>
      <c r="D23" s="3"/>
      <c r="E23" s="3"/>
      <c r="F23" s="3"/>
      <c r="G23" s="3"/>
      <c r="H23" s="3"/>
      <c r="I23" s="3"/>
      <c r="J23" s="3"/>
      <c r="K23" s="3"/>
    </row>
    <row r="24" spans="3:11" ht="21" customHeight="1">
      <c r="C24" s="2"/>
      <c r="D24" s="3"/>
      <c r="E24" s="3"/>
      <c r="F24" s="3"/>
      <c r="G24" s="3"/>
      <c r="H24" s="3"/>
      <c r="I24" s="3"/>
      <c r="J24" s="3"/>
      <c r="K24" s="3"/>
    </row>
    <row r="25" spans="3:11" ht="21" customHeight="1">
      <c r="C25" s="2"/>
      <c r="D25" s="3"/>
      <c r="E25" s="3"/>
      <c r="F25" s="3"/>
      <c r="G25" s="3"/>
      <c r="H25" s="3"/>
      <c r="I25" s="3"/>
      <c r="J25" s="3"/>
      <c r="K25" s="3"/>
    </row>
    <row r="26" spans="3:11" ht="21" customHeight="1">
      <c r="C26" s="2"/>
      <c r="D26" s="3"/>
      <c r="E26" s="3"/>
      <c r="F26" s="3"/>
      <c r="G26" s="3"/>
      <c r="H26" s="3"/>
      <c r="I26" s="3"/>
      <c r="J26" s="3"/>
      <c r="K26" s="3"/>
    </row>
    <row r="27" spans="3:11" ht="21" customHeight="1">
      <c r="C27" s="2"/>
      <c r="D27" s="3"/>
      <c r="E27" s="3"/>
      <c r="F27" s="3"/>
      <c r="G27" s="3"/>
      <c r="H27" s="3"/>
      <c r="I27" s="3"/>
      <c r="J27" s="3"/>
      <c r="K27" s="3"/>
    </row>
    <row r="28" spans="3:11" ht="21" customHeight="1">
      <c r="C28" s="2"/>
      <c r="D28" s="3"/>
      <c r="E28" s="3"/>
      <c r="F28" s="3"/>
      <c r="G28" s="3"/>
      <c r="H28" s="3"/>
      <c r="I28" s="3"/>
      <c r="J28" s="3"/>
      <c r="K28" s="3"/>
    </row>
    <row r="29" spans="3:11" ht="21" customHeight="1">
      <c r="C29" s="2"/>
      <c r="D29" s="3"/>
      <c r="E29" s="3"/>
      <c r="F29" s="3"/>
      <c r="G29" s="3"/>
      <c r="H29" s="3"/>
      <c r="I29" s="3"/>
      <c r="J29" s="3"/>
      <c r="K29" s="3"/>
    </row>
    <row r="30" spans="3:11" ht="21" customHeight="1">
      <c r="C30" s="2"/>
      <c r="D30" s="3"/>
      <c r="E30" s="3"/>
      <c r="F30" s="3"/>
      <c r="G30" s="3"/>
      <c r="H30" s="3"/>
      <c r="I30" s="3"/>
      <c r="J30" s="3"/>
      <c r="K30" s="3"/>
    </row>
    <row r="31" spans="3:11" ht="21" customHeight="1">
      <c r="C31" s="2"/>
      <c r="D31" s="3"/>
      <c r="E31" s="3"/>
      <c r="F31" s="3"/>
      <c r="G31" s="3"/>
      <c r="H31" s="3"/>
      <c r="I31" s="3"/>
      <c r="J31" s="3"/>
      <c r="K31" s="3"/>
    </row>
    <row r="32" spans="3:11" ht="21" customHeight="1">
      <c r="C32" s="2"/>
      <c r="D32" s="3"/>
      <c r="E32" s="3"/>
      <c r="F32" s="3"/>
      <c r="G32" s="3"/>
      <c r="H32" s="3"/>
      <c r="I32" s="3"/>
      <c r="J32" s="3"/>
      <c r="K32" s="3"/>
    </row>
    <row r="33" spans="3:11" ht="21" customHeight="1">
      <c r="C33" s="2"/>
      <c r="D33" s="3"/>
      <c r="E33" s="3"/>
      <c r="F33" s="3"/>
      <c r="G33" s="3"/>
      <c r="H33" s="3"/>
      <c r="I33" s="3"/>
      <c r="J33" s="3"/>
      <c r="K33" s="3"/>
    </row>
    <row r="34" spans="3:11" ht="21" customHeight="1">
      <c r="C34" s="2"/>
      <c r="D34" s="3"/>
      <c r="E34" s="3"/>
      <c r="F34" s="3"/>
      <c r="G34" s="3"/>
      <c r="H34" s="3"/>
      <c r="I34" s="3"/>
      <c r="J34" s="3"/>
      <c r="K34" s="3"/>
    </row>
    <row r="35" spans="3:11" ht="21" customHeight="1">
      <c r="C35" s="2"/>
      <c r="D35" s="3"/>
      <c r="E35" s="3"/>
      <c r="F35" s="3"/>
      <c r="G35" s="3"/>
      <c r="H35" s="3"/>
      <c r="I35" s="3"/>
      <c r="J35" s="3"/>
      <c r="K35" s="3"/>
    </row>
    <row r="36" spans="3:11" ht="21" customHeight="1">
      <c r="C36" s="2"/>
      <c r="D36" s="3"/>
      <c r="E36" s="3"/>
      <c r="F36" s="3"/>
      <c r="G36" s="3"/>
      <c r="H36" s="3"/>
      <c r="I36" s="3"/>
      <c r="J36" s="3"/>
      <c r="K36" s="3"/>
    </row>
    <row r="37" spans="3:11" ht="21" customHeight="1">
      <c r="C37" s="2"/>
      <c r="D37" s="3"/>
      <c r="E37" s="3"/>
      <c r="F37" s="3"/>
      <c r="G37" s="3"/>
      <c r="H37" s="3"/>
      <c r="I37" s="3"/>
      <c r="J37" s="3"/>
      <c r="K37" s="3"/>
    </row>
    <row r="38" spans="3:11" ht="21" customHeight="1">
      <c r="C38" s="2"/>
      <c r="D38" s="3"/>
      <c r="E38" s="3"/>
      <c r="F38" s="3"/>
      <c r="G38" s="3"/>
      <c r="H38" s="3"/>
      <c r="I38" s="3"/>
      <c r="J38" s="3"/>
      <c r="K38" s="3"/>
    </row>
    <row r="39" spans="3:11" ht="21" customHeight="1">
      <c r="C39" s="2"/>
      <c r="D39" s="3"/>
      <c r="E39" s="3"/>
      <c r="F39" s="3"/>
      <c r="G39" s="3"/>
      <c r="H39" s="3"/>
      <c r="I39" s="3"/>
      <c r="J39" s="3"/>
      <c r="K39" s="3"/>
    </row>
    <row r="40" spans="3:11" ht="21" customHeight="1">
      <c r="C40" s="2"/>
      <c r="D40" s="3"/>
      <c r="E40" s="3"/>
      <c r="F40" s="3"/>
      <c r="G40" s="3"/>
      <c r="H40" s="3"/>
      <c r="I40" s="3"/>
      <c r="J40" s="3"/>
      <c r="K40" s="3"/>
    </row>
    <row r="41" spans="3:11" ht="21" customHeight="1">
      <c r="C41" s="2"/>
      <c r="D41" s="3"/>
      <c r="E41" s="3"/>
      <c r="F41" s="3"/>
      <c r="G41" s="3"/>
      <c r="H41" s="3"/>
      <c r="I41" s="3"/>
      <c r="J41" s="3"/>
      <c r="K41" s="3"/>
    </row>
    <row r="42" spans="3:11" ht="21" customHeight="1">
      <c r="C42" s="2"/>
      <c r="D42" s="3"/>
      <c r="E42" s="3"/>
      <c r="F42" s="3"/>
      <c r="G42" s="3"/>
      <c r="H42" s="3"/>
      <c r="I42" s="3"/>
      <c r="J42" s="3"/>
      <c r="K42" s="3"/>
    </row>
    <row r="43" spans="3:11" ht="21" customHeight="1">
      <c r="C43" s="2"/>
      <c r="D43" s="3"/>
      <c r="E43" s="3"/>
      <c r="F43" s="3"/>
      <c r="G43" s="3"/>
      <c r="H43" s="3"/>
      <c r="I43" s="3"/>
      <c r="J43" s="3"/>
      <c r="K43" s="3"/>
    </row>
    <row r="44" spans="3:11" ht="21" customHeight="1">
      <c r="C44" s="2"/>
      <c r="D44" s="3"/>
      <c r="E44" s="3"/>
      <c r="F44" s="3"/>
      <c r="G44" s="3"/>
      <c r="H44" s="3"/>
      <c r="I44" s="3"/>
      <c r="J44" s="3"/>
      <c r="K44" s="3"/>
    </row>
    <row r="45" spans="3:11" ht="21" customHeight="1">
      <c r="C45" s="2"/>
      <c r="D45" s="3"/>
      <c r="E45" s="3"/>
      <c r="F45" s="3"/>
      <c r="G45" s="3"/>
      <c r="H45" s="3"/>
      <c r="I45" s="3"/>
      <c r="J45" s="3"/>
      <c r="K45" s="3"/>
    </row>
    <row r="46" spans="3:11" ht="21" customHeight="1">
      <c r="C46" s="2"/>
      <c r="D46" s="3"/>
      <c r="E46" s="3"/>
      <c r="F46" s="3"/>
      <c r="G46" s="3"/>
      <c r="H46" s="3"/>
      <c r="I46" s="3"/>
      <c r="J46" s="3"/>
      <c r="K46" s="3"/>
    </row>
    <row r="47" spans="3:11" ht="21" customHeight="1">
      <c r="C47" s="2"/>
      <c r="D47" s="3"/>
      <c r="E47" s="3"/>
      <c r="F47" s="3"/>
      <c r="G47" s="3"/>
      <c r="H47" s="3"/>
      <c r="I47" s="3"/>
      <c r="J47" s="3"/>
      <c r="K47" s="3"/>
    </row>
    <row r="48" spans="3:11" ht="21" customHeight="1">
      <c r="C48" s="2"/>
      <c r="D48" s="3"/>
      <c r="E48" s="3"/>
      <c r="F48" s="3"/>
      <c r="G48" s="3"/>
      <c r="H48" s="3"/>
      <c r="I48" s="3"/>
      <c r="J48" s="3"/>
      <c r="K48" s="3"/>
    </row>
    <row r="49" spans="3:11" ht="21" customHeight="1">
      <c r="C49" s="2"/>
      <c r="D49" s="3"/>
      <c r="E49" s="3"/>
      <c r="F49" s="3"/>
      <c r="G49" s="3"/>
      <c r="H49" s="3"/>
      <c r="I49" s="3"/>
      <c r="J49" s="3"/>
      <c r="K49" s="3"/>
    </row>
    <row r="50" spans="3:11" ht="21" customHeight="1">
      <c r="C50" s="2"/>
      <c r="D50" s="3"/>
      <c r="E50" s="3"/>
      <c r="F50" s="3"/>
      <c r="G50" s="3"/>
      <c r="H50" s="3"/>
      <c r="I50" s="3"/>
      <c r="J50" s="3"/>
      <c r="K50" s="3"/>
    </row>
    <row r="51" spans="3:11" ht="21" customHeight="1">
      <c r="C51" s="2"/>
      <c r="D51" s="3"/>
      <c r="E51" s="3"/>
      <c r="F51" s="3"/>
      <c r="G51" s="3"/>
      <c r="H51" s="3"/>
      <c r="I51" s="3"/>
      <c r="J51" s="3"/>
      <c r="K51" s="3"/>
    </row>
    <row r="52" spans="3:11" ht="21" customHeight="1">
      <c r="C52" s="2"/>
      <c r="D52" s="3"/>
      <c r="E52" s="3"/>
      <c r="F52" s="3"/>
      <c r="G52" s="3"/>
      <c r="H52" s="3"/>
      <c r="I52" s="3"/>
      <c r="J52" s="3"/>
      <c r="K52" s="3"/>
    </row>
    <row r="53" spans="3:11" ht="21" customHeight="1">
      <c r="C53" s="2"/>
      <c r="D53" s="3"/>
      <c r="E53" s="3"/>
      <c r="F53" s="3"/>
      <c r="G53" s="3"/>
      <c r="H53" s="3"/>
      <c r="I53" s="3"/>
      <c r="J53" s="3"/>
      <c r="K53" s="3"/>
    </row>
    <row r="54" spans="3:11" ht="21" customHeight="1">
      <c r="C54" s="2"/>
      <c r="D54" s="3"/>
      <c r="E54" s="3"/>
      <c r="F54" s="3"/>
      <c r="G54" s="3"/>
      <c r="H54" s="3"/>
      <c r="I54" s="3"/>
      <c r="J54" s="3"/>
      <c r="K54" s="3"/>
    </row>
    <row r="55" spans="3:11" ht="21" customHeight="1">
      <c r="C55" s="2"/>
      <c r="D55" s="3"/>
      <c r="E55" s="3"/>
      <c r="F55" s="3"/>
      <c r="G55" s="3"/>
      <c r="H55" s="3"/>
      <c r="I55" s="3"/>
      <c r="J55" s="3"/>
      <c r="K55" s="3"/>
    </row>
    <row r="56" spans="3:11" ht="21" customHeight="1">
      <c r="C56" s="2"/>
      <c r="D56" s="3"/>
      <c r="E56" s="3"/>
      <c r="F56" s="3"/>
      <c r="G56" s="3"/>
      <c r="H56" s="3"/>
      <c r="I56" s="3"/>
      <c r="J56" s="3"/>
      <c r="K56" s="3"/>
    </row>
    <row r="57" spans="3:11" ht="21" customHeight="1">
      <c r="C57" s="2"/>
      <c r="D57" s="3"/>
      <c r="E57" s="3"/>
      <c r="F57" s="3"/>
      <c r="G57" s="3"/>
      <c r="H57" s="3"/>
      <c r="I57" s="3"/>
      <c r="J57" s="3"/>
      <c r="K57" s="3"/>
    </row>
    <row r="58" spans="3:11" ht="21" customHeight="1">
      <c r="C58" s="2"/>
      <c r="D58" s="3"/>
      <c r="E58" s="3"/>
      <c r="F58" s="3"/>
      <c r="G58" s="3"/>
      <c r="H58" s="3"/>
      <c r="I58" s="3"/>
      <c r="J58" s="3"/>
      <c r="K58" s="3"/>
    </row>
    <row r="59" spans="3:11" ht="21" customHeight="1">
      <c r="C59" s="2"/>
      <c r="D59" s="3"/>
      <c r="E59" s="3"/>
      <c r="F59" s="3"/>
      <c r="G59" s="3"/>
      <c r="H59" s="3"/>
      <c r="I59" s="3"/>
      <c r="J59" s="3"/>
      <c r="K59" s="3"/>
    </row>
    <row r="60" spans="3:11" ht="21" customHeight="1">
      <c r="C60" s="2"/>
      <c r="D60" s="3"/>
      <c r="E60" s="3"/>
      <c r="F60" s="3"/>
      <c r="G60" s="3"/>
      <c r="H60" s="3"/>
      <c r="I60" s="3"/>
      <c r="J60" s="3"/>
      <c r="K60" s="3"/>
    </row>
    <row r="61" spans="3:11" ht="21" customHeight="1">
      <c r="C61" s="2"/>
      <c r="D61" s="3"/>
      <c r="E61" s="3"/>
      <c r="F61" s="3"/>
      <c r="G61" s="3"/>
      <c r="H61" s="3"/>
      <c r="I61" s="3"/>
      <c r="J61" s="3"/>
      <c r="K61" s="3"/>
    </row>
    <row r="62" spans="3:11" ht="21" customHeight="1">
      <c r="C62" s="2"/>
      <c r="D62" s="3"/>
      <c r="E62" s="3"/>
      <c r="F62" s="3"/>
      <c r="G62" s="3"/>
      <c r="H62" s="3"/>
      <c r="I62" s="3"/>
      <c r="J62" s="3"/>
      <c r="K62" s="3"/>
    </row>
    <row r="63" spans="3:11" ht="21" customHeight="1">
      <c r="C63" s="2"/>
      <c r="D63" s="3"/>
      <c r="E63" s="3"/>
      <c r="F63" s="3"/>
      <c r="G63" s="3"/>
      <c r="H63" s="3"/>
      <c r="I63" s="3"/>
      <c r="J63" s="3"/>
      <c r="K63" s="3"/>
    </row>
    <row r="64" spans="3:11" ht="21" customHeight="1">
      <c r="C64" s="2"/>
      <c r="D64" s="3"/>
      <c r="E64" s="3"/>
      <c r="F64" s="3"/>
      <c r="G64" s="3"/>
      <c r="H64" s="3"/>
      <c r="I64" s="3"/>
      <c r="J64" s="3"/>
      <c r="K64" s="3"/>
    </row>
    <row r="65" spans="3:11" ht="21" customHeight="1">
      <c r="C65" s="2"/>
      <c r="D65" s="3"/>
      <c r="E65" s="3"/>
      <c r="F65" s="3"/>
      <c r="G65" s="3"/>
      <c r="H65" s="3"/>
      <c r="I65" s="3"/>
      <c r="J65" s="3"/>
      <c r="K65" s="3"/>
    </row>
    <row r="66" spans="3:11" ht="21" customHeight="1">
      <c r="C66" s="2"/>
      <c r="D66" s="3"/>
      <c r="E66" s="3"/>
      <c r="F66" s="3"/>
      <c r="G66" s="3"/>
      <c r="H66" s="3"/>
      <c r="I66" s="3"/>
      <c r="J66" s="3"/>
      <c r="K66" s="3"/>
    </row>
    <row r="67" spans="3:11" ht="21" customHeight="1">
      <c r="C67" s="2"/>
      <c r="D67" s="3"/>
      <c r="E67" s="3"/>
      <c r="F67" s="3"/>
      <c r="G67" s="3"/>
      <c r="H67" s="3"/>
      <c r="I67" s="3"/>
      <c r="J67" s="3"/>
      <c r="K67" s="3"/>
    </row>
    <row r="68" spans="3:11" ht="21" customHeight="1">
      <c r="C68" s="2"/>
      <c r="D68" s="3"/>
      <c r="E68" s="3"/>
      <c r="F68" s="3"/>
      <c r="G68" s="3"/>
      <c r="H68" s="3"/>
      <c r="I68" s="3"/>
      <c r="J68" s="3"/>
      <c r="K68" s="3"/>
    </row>
    <row r="69" spans="3:11" ht="21" customHeight="1">
      <c r="C69" s="2"/>
      <c r="D69" s="3"/>
      <c r="E69" s="3"/>
      <c r="F69" s="3"/>
      <c r="G69" s="3"/>
      <c r="H69" s="3"/>
      <c r="I69" s="3"/>
      <c r="J69" s="3"/>
      <c r="K69" s="3"/>
    </row>
    <row r="70" spans="3:11" ht="21" customHeight="1">
      <c r="C70" s="2"/>
      <c r="D70" s="3"/>
      <c r="E70" s="3"/>
      <c r="F70" s="3"/>
      <c r="G70" s="3"/>
      <c r="H70" s="3"/>
      <c r="I70" s="3"/>
      <c r="J70" s="3"/>
      <c r="K70" s="3"/>
    </row>
    <row r="71" spans="3:11" ht="21" customHeight="1">
      <c r="C71" s="2"/>
      <c r="D71" s="3"/>
      <c r="E71" s="3"/>
      <c r="F71" s="3"/>
      <c r="G71" s="3"/>
      <c r="H71" s="3"/>
      <c r="I71" s="3"/>
      <c r="J71" s="3"/>
      <c r="K71" s="3"/>
    </row>
    <row r="72" spans="3:11" ht="21" customHeight="1">
      <c r="C72" s="2"/>
      <c r="D72" s="3"/>
      <c r="E72" s="3"/>
      <c r="F72" s="3"/>
      <c r="G72" s="3"/>
      <c r="H72" s="3"/>
      <c r="I72" s="3"/>
      <c r="J72" s="3"/>
      <c r="K72" s="3"/>
    </row>
    <row r="73" spans="3:11" ht="21" customHeight="1">
      <c r="C73" s="2"/>
      <c r="D73" s="3"/>
      <c r="E73" s="3"/>
      <c r="F73" s="3"/>
      <c r="G73" s="3"/>
      <c r="H73" s="3"/>
      <c r="I73" s="3"/>
      <c r="J73" s="3"/>
      <c r="K73" s="3"/>
    </row>
    <row r="74" spans="3:11" ht="21" customHeight="1">
      <c r="C74" s="2"/>
      <c r="D74" s="3"/>
      <c r="E74" s="3"/>
      <c r="F74" s="3"/>
      <c r="G74" s="3"/>
      <c r="H74" s="3"/>
      <c r="I74" s="3"/>
      <c r="J74" s="3"/>
      <c r="K74" s="3"/>
    </row>
    <row r="75" spans="3:11" ht="21" customHeight="1">
      <c r="C75" s="2"/>
      <c r="D75" s="3"/>
      <c r="E75" s="3"/>
      <c r="F75" s="3"/>
      <c r="G75" s="3"/>
      <c r="H75" s="3"/>
      <c r="I75" s="3"/>
      <c r="J75" s="3"/>
      <c r="K7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Summary</vt:lpstr>
      <vt:lpstr>Financial Review</vt:lpstr>
      <vt:lpstr>Enterprise Valuation</vt:lpstr>
      <vt:lpstr>Comparable Valuation</vt:lpstr>
      <vt:lpstr>Assumptions</vt:lpstr>
      <vt:lpstr>History</vt:lpstr>
      <vt:lpstr>Forecast</vt:lpstr>
      <vt:lpstr>Debt and Cash</vt:lpstr>
      <vt:lpstr>Valuation</vt:lpstr>
      <vt:lpstr>Scenarios</vt:lpstr>
      <vt:lpstr>Monitoring</vt:lpstr>
      <vt:lpstr>Backlog and Capacity</vt:lpstr>
      <vt:lpstr>Peer Benchmarks</vt:lpstr>
      <vt:lpstr>Expectations</vt:lpstr>
      <vt:lpstr>Checks</vt:lpstr>
      <vt:lpstr>'Comparable Valuation'!Print_Area</vt:lpstr>
      <vt:lpstr>'Enterprise Valuation'!Print_Area</vt:lpstr>
      <vt:lpstr>'Financial Review'!Print_Area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cp:lastPrinted>2026-10-06T22:06:38Z</cp:lastPrinted>
  <dcterms:modified xsi:type="dcterms:W3CDTF">2026-10-06T22:09:23Z</dcterms:modified>
</cp:coreProperties>
</file>