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offic\.codex\worktrees\58ac\Portfolio_Final\Acquisitions\LBO - Specialty Manufacturer (Manufacturer Buyout)\"/>
    </mc:Choice>
  </mc:AlternateContent>
  <xr:revisionPtr revIDLastSave="0" documentId="13_ncr:1_{DCCB61FA-33C7-4E4D-AF79-09BDA35B161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uyout Summary" sheetId="10" r:id="rId1"/>
    <sheet name="README" sheetId="1" r:id="rId2"/>
    <sheet name="Raw_Case_Data" sheetId="2" r:id="rId3"/>
    <sheet name="Inputs" sheetId="3" r:id="rId4"/>
    <sheet name="Sources_Uses" sheetId="4" r:id="rId5"/>
    <sheet name="Debt_Schedule" sheetId="5" r:id="rId6"/>
    <sheet name="Income_Statement" sheetId="6" r:id="rId7"/>
    <sheet name="Cash_Flow" sheetId="7" r:id="rId8"/>
    <sheet name="Balance_Sheet" sheetId="8" r:id="rId9"/>
    <sheet name="Returns_Analysis" sheetId="9" r:id="rId10"/>
  </sheets>
  <definedNames>
    <definedName name="_xlnm.Print_Area" localSheetId="0">'Buyout Summary'!$C$2:$J$52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9" l="1"/>
  <c r="E7" i="9"/>
  <c r="B5" i="9"/>
  <c r="B4" i="9"/>
  <c r="B16" i="8"/>
  <c r="B14" i="8"/>
  <c r="B13" i="8"/>
  <c r="B11" i="8"/>
  <c r="B15" i="8" s="1"/>
  <c r="B17" i="8" s="1"/>
  <c r="H6" i="6"/>
  <c r="G6" i="6"/>
  <c r="F6" i="6"/>
  <c r="E6" i="6"/>
  <c r="D6" i="6"/>
  <c r="C6" i="6"/>
  <c r="C18" i="5"/>
  <c r="G14" i="5"/>
  <c r="G11" i="7" s="1"/>
  <c r="C13" i="5"/>
  <c r="C16" i="5" s="1"/>
  <c r="H10" i="5"/>
  <c r="H14" i="7" s="1"/>
  <c r="G10" i="5"/>
  <c r="G14" i="7" s="1"/>
  <c r="F10" i="5"/>
  <c r="F14" i="7" s="1"/>
  <c r="E10" i="5"/>
  <c r="E14" i="7" s="1"/>
  <c r="D10" i="5"/>
  <c r="D14" i="7" s="1"/>
  <c r="C10" i="5"/>
  <c r="C14" i="7" s="1"/>
  <c r="H9" i="5"/>
  <c r="H13" i="7" s="1"/>
  <c r="G9" i="5"/>
  <c r="G13" i="7" s="1"/>
  <c r="F9" i="5"/>
  <c r="F13" i="7" s="1"/>
  <c r="E9" i="5"/>
  <c r="E13" i="7" s="1"/>
  <c r="D9" i="5"/>
  <c r="D13" i="7" s="1"/>
  <c r="C9" i="5"/>
  <c r="H5" i="5"/>
  <c r="H10" i="7" s="1"/>
  <c r="C4" i="5"/>
  <c r="B12" i="4"/>
  <c r="B11" i="4"/>
  <c r="B10" i="4"/>
  <c r="B9" i="4"/>
  <c r="B4" i="4"/>
  <c r="B6" i="4" s="1"/>
  <c r="H29" i="3"/>
  <c r="H19" i="5" s="1"/>
  <c r="H12" i="7" s="1"/>
  <c r="G29" i="3"/>
  <c r="G19" i="5" s="1"/>
  <c r="G12" i="7" s="1"/>
  <c r="F29" i="3"/>
  <c r="F19" i="5" s="1"/>
  <c r="F12" i="7" s="1"/>
  <c r="E29" i="3"/>
  <c r="E19" i="5" s="1"/>
  <c r="E12" i="7" s="1"/>
  <c r="D29" i="3"/>
  <c r="D19" i="5" s="1"/>
  <c r="D12" i="7" s="1"/>
  <c r="C29" i="3"/>
  <c r="C19" i="5" s="1"/>
  <c r="C12" i="7" s="1"/>
  <c r="H28" i="3"/>
  <c r="H14" i="5" s="1"/>
  <c r="H11" i="7" s="1"/>
  <c r="F28" i="3"/>
  <c r="F14" i="5" s="1"/>
  <c r="E28" i="3"/>
  <c r="E14" i="5" s="1"/>
  <c r="E11" i="7" s="1"/>
  <c r="D28" i="3"/>
  <c r="D14" i="5" s="1"/>
  <c r="D11" i="7" s="1"/>
  <c r="C28" i="3"/>
  <c r="C14" i="5" s="1"/>
  <c r="C11" i="7" s="1"/>
  <c r="G27" i="3"/>
  <c r="G5" i="5" s="1"/>
  <c r="G10" i="7" s="1"/>
  <c r="F27" i="3"/>
  <c r="F5" i="5" s="1"/>
  <c r="F10" i="7" s="1"/>
  <c r="E27" i="3"/>
  <c r="E5" i="5" s="1"/>
  <c r="E10" i="7" s="1"/>
  <c r="D27" i="3"/>
  <c r="D5" i="5" s="1"/>
  <c r="D10" i="7" s="1"/>
  <c r="C27" i="3"/>
  <c r="C5" i="5" s="1"/>
  <c r="C10" i="7" s="1"/>
  <c r="H26" i="3"/>
  <c r="H8" i="7" s="1"/>
  <c r="G26" i="3"/>
  <c r="G8" i="7" s="1"/>
  <c r="F26" i="3"/>
  <c r="F8" i="7" s="1"/>
  <c r="E26" i="3"/>
  <c r="E8" i="7" s="1"/>
  <c r="D26" i="3"/>
  <c r="D8" i="7" s="1"/>
  <c r="C26" i="3"/>
  <c r="C8" i="7" s="1"/>
  <c r="H25" i="3"/>
  <c r="H7" i="7" s="1"/>
  <c r="G25" i="3"/>
  <c r="G7" i="7" s="1"/>
  <c r="F25" i="3"/>
  <c r="F7" i="7" s="1"/>
  <c r="E25" i="3"/>
  <c r="E7" i="7" s="1"/>
  <c r="D25" i="3"/>
  <c r="D7" i="7" s="1"/>
  <c r="C25" i="3"/>
  <c r="C7" i="7" s="1"/>
  <c r="H24" i="3"/>
  <c r="H5" i="7" s="1"/>
  <c r="E5" i="9" s="1"/>
  <c r="G24" i="3"/>
  <c r="G5" i="7" s="1"/>
  <c r="F24" i="3"/>
  <c r="F5" i="7" s="1"/>
  <c r="E24" i="3"/>
  <c r="E5" i="7" s="1"/>
  <c r="D24" i="3"/>
  <c r="D5" i="7" s="1"/>
  <c r="C24" i="3"/>
  <c r="C5" i="7" s="1"/>
  <c r="H22" i="3"/>
  <c r="G22" i="3"/>
  <c r="F22" i="3"/>
  <c r="E22" i="3"/>
  <c r="D22" i="3"/>
  <c r="C22" i="3"/>
  <c r="H21" i="3"/>
  <c r="G21" i="3"/>
  <c r="F21" i="3"/>
  <c r="E21" i="3"/>
  <c r="D21" i="3"/>
  <c r="C21" i="3"/>
  <c r="H20" i="3"/>
  <c r="H8" i="6" s="1"/>
  <c r="G20" i="3"/>
  <c r="G8" i="6" s="1"/>
  <c r="F20" i="3"/>
  <c r="F8" i="6" s="1"/>
  <c r="E20" i="3"/>
  <c r="E8" i="6" s="1"/>
  <c r="D20" i="3"/>
  <c r="D8" i="6" s="1"/>
  <c r="C20" i="3"/>
  <c r="C8" i="6" s="1"/>
  <c r="H19" i="3"/>
  <c r="H5" i="6" s="1"/>
  <c r="G19" i="3"/>
  <c r="G5" i="6" s="1"/>
  <c r="F19" i="3"/>
  <c r="F5" i="6" s="1"/>
  <c r="E19" i="3"/>
  <c r="E5" i="6" s="1"/>
  <c r="D19" i="3"/>
  <c r="D5" i="6" s="1"/>
  <c r="C19" i="3"/>
  <c r="C5" i="6" s="1"/>
  <c r="C7" i="6" s="1"/>
  <c r="H18" i="3"/>
  <c r="H4" i="6" s="1"/>
  <c r="I24" i="10" s="1"/>
  <c r="G18" i="3"/>
  <c r="G4" i="6" s="1"/>
  <c r="H24" i="10" s="1"/>
  <c r="F18" i="3"/>
  <c r="F4" i="6" s="1"/>
  <c r="G24" i="10" s="1"/>
  <c r="E18" i="3"/>
  <c r="E4" i="6" s="1"/>
  <c r="F24" i="10" s="1"/>
  <c r="D18" i="3"/>
  <c r="D4" i="6" s="1"/>
  <c r="E24" i="10" s="1"/>
  <c r="C18" i="3"/>
  <c r="C4" i="6" s="1"/>
  <c r="D24" i="10" s="1"/>
  <c r="E12" i="3"/>
  <c r="E13" i="3" s="1"/>
  <c r="E11" i="3"/>
  <c r="E10" i="3"/>
  <c r="B9" i="3"/>
  <c r="B13" i="4" s="1"/>
  <c r="E8" i="3"/>
  <c r="E7" i="3"/>
  <c r="E6" i="3"/>
  <c r="E5" i="3"/>
  <c r="E4" i="3"/>
  <c r="I22" i="10"/>
  <c r="H22" i="10"/>
  <c r="G22" i="10"/>
  <c r="F22" i="10"/>
  <c r="E22" i="10"/>
  <c r="D22" i="10"/>
  <c r="D15" i="10"/>
  <c r="D12" i="10"/>
  <c r="D11" i="10"/>
  <c r="D10" i="10"/>
  <c r="D9" i="10"/>
  <c r="E9" i="3" l="1"/>
  <c r="G7" i="6"/>
  <c r="C6" i="5"/>
  <c r="F7" i="6"/>
  <c r="H7" i="6"/>
  <c r="D7" i="6"/>
  <c r="E7" i="6"/>
  <c r="H23" i="3"/>
  <c r="H10" i="6" s="1"/>
  <c r="G23" i="3"/>
  <c r="G10" i="6" s="1"/>
  <c r="F23" i="3"/>
  <c r="F10" i="6" s="1"/>
  <c r="E23" i="3"/>
  <c r="E10" i="6" s="1"/>
  <c r="D23" i="3"/>
  <c r="D10" i="6" s="1"/>
  <c r="C23" i="3"/>
  <c r="C10" i="6" s="1"/>
  <c r="J20" i="9"/>
  <c r="I20" i="9"/>
  <c r="H20" i="9"/>
  <c r="G20" i="9"/>
  <c r="F20" i="9"/>
  <c r="B6" i="9"/>
  <c r="D13" i="5"/>
  <c r="D16" i="5" s="1"/>
  <c r="C14" i="8"/>
  <c r="C11" i="5"/>
  <c r="C13" i="7"/>
  <c r="F11" i="7"/>
  <c r="C9" i="6"/>
  <c r="D25" i="10"/>
  <c r="C13" i="6"/>
  <c r="B8" i="8"/>
  <c r="C8" i="8"/>
  <c r="D8" i="8"/>
  <c r="E8" i="8"/>
  <c r="F8" i="8"/>
  <c r="G8" i="8"/>
  <c r="H8" i="8"/>
  <c r="B7" i="8"/>
  <c r="C7" i="8"/>
  <c r="E7" i="8"/>
  <c r="F7" i="8"/>
  <c r="D7" i="8"/>
  <c r="H7" i="8"/>
  <c r="G7" i="8"/>
  <c r="C6" i="8"/>
  <c r="E6" i="8"/>
  <c r="H6" i="8"/>
  <c r="B6" i="8"/>
  <c r="D6" i="8"/>
  <c r="F6" i="8"/>
  <c r="G6" i="8"/>
  <c r="D13" i="10"/>
  <c r="D17" i="10" s="1"/>
  <c r="B15" i="4"/>
  <c r="B17" i="4" s="1"/>
  <c r="B5" i="8"/>
  <c r="B4" i="8"/>
  <c r="C16" i="7"/>
  <c r="C20" i="5"/>
  <c r="B9" i="8" l="1"/>
  <c r="B18" i="8" s="1"/>
  <c r="C5" i="8"/>
  <c r="D5" i="8"/>
  <c r="E5" i="8"/>
  <c r="F5" i="8"/>
  <c r="G5" i="8"/>
  <c r="H5" i="8"/>
  <c r="G9" i="6"/>
  <c r="G11" i="6" s="1"/>
  <c r="G12" i="6" s="1"/>
  <c r="G13" i="6"/>
  <c r="H25" i="10"/>
  <c r="D4" i="5"/>
  <c r="D6" i="5" s="1"/>
  <c r="C11" i="8"/>
  <c r="F9" i="6"/>
  <c r="F13" i="6"/>
  <c r="G25" i="10"/>
  <c r="H9" i="6"/>
  <c r="I25" i="10"/>
  <c r="H13" i="6"/>
  <c r="E4" i="9"/>
  <c r="E6" i="9" s="1"/>
  <c r="E8" i="9" s="1"/>
  <c r="D9" i="6"/>
  <c r="D11" i="6" s="1"/>
  <c r="D12" i="6" s="1"/>
  <c r="E25" i="10"/>
  <c r="D13" i="6"/>
  <c r="E9" i="6"/>
  <c r="E11" i="6" s="1"/>
  <c r="E12" i="6" s="1"/>
  <c r="E13" i="6"/>
  <c r="F25" i="10"/>
  <c r="C22" i="5"/>
  <c r="D28" i="10" s="1"/>
  <c r="D14" i="8"/>
  <c r="E13" i="5"/>
  <c r="E16" i="5" s="1"/>
  <c r="C12" i="8"/>
  <c r="D8" i="5"/>
  <c r="D11" i="5" s="1"/>
  <c r="C11" i="6"/>
  <c r="C12" i="6" s="1"/>
  <c r="D18" i="5"/>
  <c r="D20" i="5" s="1"/>
  <c r="C13" i="8"/>
  <c r="B8" i="9"/>
  <c r="B7" i="9"/>
  <c r="D22" i="5" l="1"/>
  <c r="E28" i="10" s="1"/>
  <c r="E4" i="5"/>
  <c r="E6" i="5" s="1"/>
  <c r="D11" i="8"/>
  <c r="F11" i="6"/>
  <c r="F12" i="6" s="1"/>
  <c r="H11" i="6"/>
  <c r="H12" i="6" s="1"/>
  <c r="C15" i="8"/>
  <c r="F13" i="5"/>
  <c r="E14" i="8"/>
  <c r="D12" i="8"/>
  <c r="E8" i="5"/>
  <c r="E11" i="5" s="1"/>
  <c r="G4" i="7"/>
  <c r="G6" i="7" s="1"/>
  <c r="G9" i="7" s="1"/>
  <c r="G15" i="7" s="1"/>
  <c r="H26" i="10"/>
  <c r="E4" i="7"/>
  <c r="E6" i="7" s="1"/>
  <c r="E9" i="7" s="1"/>
  <c r="E15" i="7" s="1"/>
  <c r="F26" i="10"/>
  <c r="D4" i="7"/>
  <c r="D6" i="7" s="1"/>
  <c r="D9" i="7" s="1"/>
  <c r="D15" i="7" s="1"/>
  <c r="E26" i="10"/>
  <c r="D26" i="10"/>
  <c r="C4" i="7"/>
  <c r="C6" i="7" s="1"/>
  <c r="C9" i="7" s="1"/>
  <c r="C15" i="7" s="1"/>
  <c r="C17" i="7" s="1"/>
  <c r="D13" i="8"/>
  <c r="E18" i="5"/>
  <c r="E20" i="5" s="1"/>
  <c r="E22" i="5" l="1"/>
  <c r="F28" i="10" s="1"/>
  <c r="F4" i="5"/>
  <c r="F6" i="5" s="1"/>
  <c r="E11" i="8"/>
  <c r="F4" i="7"/>
  <c r="F6" i="7" s="1"/>
  <c r="F9" i="7" s="1"/>
  <c r="F15" i="7" s="1"/>
  <c r="G26" i="10"/>
  <c r="I26" i="10"/>
  <c r="H4" i="7"/>
  <c r="H6" i="7" s="1"/>
  <c r="H9" i="7" s="1"/>
  <c r="H15" i="7" s="1"/>
  <c r="D15" i="8"/>
  <c r="F15" i="5"/>
  <c r="F16" i="5" s="1"/>
  <c r="E12" i="8"/>
  <c r="F8" i="5"/>
  <c r="F11" i="5" s="1"/>
  <c r="D16" i="7"/>
  <c r="D17" i="7" s="1"/>
  <c r="D29" i="10"/>
  <c r="C4" i="8"/>
  <c r="C9" i="8" s="1"/>
  <c r="E13" i="8"/>
  <c r="F18" i="5"/>
  <c r="F20" i="5" s="1"/>
  <c r="F22" i="5" l="1"/>
  <c r="G28" i="10" s="1"/>
  <c r="F11" i="8"/>
  <c r="G4" i="5"/>
  <c r="G6" i="5" s="1"/>
  <c r="G13" i="5"/>
  <c r="F14" i="8"/>
  <c r="G8" i="5"/>
  <c r="G11" i="5" s="1"/>
  <c r="F12" i="8"/>
  <c r="D4" i="8"/>
  <c r="D9" i="8" s="1"/>
  <c r="E16" i="7"/>
  <c r="E17" i="7" s="1"/>
  <c r="E29" i="10"/>
  <c r="C16" i="8"/>
  <c r="D30" i="10"/>
  <c r="G18" i="5"/>
  <c r="G20" i="5" s="1"/>
  <c r="F13" i="8"/>
  <c r="E15" i="8"/>
  <c r="H4" i="5" l="1"/>
  <c r="H6" i="5" s="1"/>
  <c r="H11" i="8" s="1"/>
  <c r="G11" i="8"/>
  <c r="F15" i="8"/>
  <c r="G15" i="5"/>
  <c r="G16" i="5" s="1"/>
  <c r="H8" i="5"/>
  <c r="H11" i="5" s="1"/>
  <c r="H12" i="8" s="1"/>
  <c r="G12" i="8"/>
  <c r="D16" i="8"/>
  <c r="E30" i="10"/>
  <c r="F16" i="7"/>
  <c r="F17" i="7" s="1"/>
  <c r="F29" i="10"/>
  <c r="E4" i="8"/>
  <c r="E9" i="8" s="1"/>
  <c r="C23" i="5"/>
  <c r="C17" i="8"/>
  <c r="H18" i="5"/>
  <c r="H20" i="5" s="1"/>
  <c r="H13" i="8" s="1"/>
  <c r="E16" i="9" s="1"/>
  <c r="G13" i="8"/>
  <c r="G22" i="5" l="1"/>
  <c r="G14" i="8"/>
  <c r="G15" i="8" s="1"/>
  <c r="H13" i="5"/>
  <c r="H16" i="5" s="1"/>
  <c r="D17" i="8"/>
  <c r="D23" i="5"/>
  <c r="G16" i="7"/>
  <c r="G17" i="7" s="1"/>
  <c r="F4" i="8"/>
  <c r="F9" i="8" s="1"/>
  <c r="G29" i="10"/>
  <c r="E16" i="8"/>
  <c r="F30" i="10"/>
  <c r="C18" i="8"/>
  <c r="D31" i="10"/>
  <c r="D32" i="10" s="1"/>
  <c r="H28" i="10" l="1"/>
  <c r="H22" i="5"/>
  <c r="H14" i="8"/>
  <c r="H15" i="8" s="1"/>
  <c r="D18" i="8"/>
  <c r="E31" i="10"/>
  <c r="E32" i="10" s="1"/>
  <c r="G4" i="8"/>
  <c r="G9" i="8" s="1"/>
  <c r="H16" i="7"/>
  <c r="H17" i="7" s="1"/>
  <c r="H29" i="10"/>
  <c r="F16" i="8"/>
  <c r="G30" i="10"/>
  <c r="E17" i="8"/>
  <c r="E23" i="5"/>
  <c r="I28" i="10" l="1"/>
  <c r="G16" i="8"/>
  <c r="H30" i="10"/>
  <c r="H4" i="8"/>
  <c r="I29" i="10"/>
  <c r="F17" i="8"/>
  <c r="F23" i="5"/>
  <c r="E18" i="8"/>
  <c r="F31" i="10"/>
  <c r="F32" i="10" s="1"/>
  <c r="E9" i="9"/>
  <c r="G23" i="5" l="1"/>
  <c r="G17" i="8"/>
  <c r="H9" i="8"/>
  <c r="E10" i="9"/>
  <c r="E11" i="9" s="1"/>
  <c r="F18" i="8"/>
  <c r="G31" i="10"/>
  <c r="G32" i="10" s="1"/>
  <c r="E12" i="9" l="1"/>
  <c r="E13" i="9" s="1"/>
  <c r="E15" i="9"/>
  <c r="K20" i="9" s="1"/>
  <c r="E18" i="9" s="1"/>
  <c r="G18" i="8"/>
  <c r="H31" i="10"/>
  <c r="H32" i="10" s="1"/>
  <c r="H16" i="8"/>
  <c r="I30" i="10"/>
  <c r="H17" i="8" l="1"/>
  <c r="H23" i="5"/>
  <c r="H18" i="8" l="1"/>
  <c r="I31" i="10"/>
  <c r="I32" i="1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Eshan Mukherjee</author>
  </authors>
  <commentList>
    <comment ref="B4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Seller asking price from case text.</t>
        </r>
      </text>
    </comment>
    <comment ref="E4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Exhibit 2 cash and marketable securities.</t>
        </r>
      </text>
    </comment>
    <comment ref="B5" authorId="0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>Maximum management investment from case text.</t>
        </r>
      </text>
    </comment>
    <comment ref="E5" authorId="0" shapeId="0" xr:uid="{00000000-0006-0000-0200-000004000000}">
      <text>
        <r>
          <rPr>
            <sz val="11"/>
            <color theme="1"/>
            <rFont val="Calibri"/>
            <family val="2"/>
            <scheme val="minor"/>
          </rPr>
          <t>Exhibit 2 accounts receivable.</t>
        </r>
      </text>
    </comment>
    <comment ref="B6" authorId="0" shapeId="0" xr:uid="{00000000-0006-0000-0200-000005000000}">
      <text>
        <r>
          <rPr>
            <sz val="11"/>
            <color theme="1"/>
            <rFont val="Calibri"/>
            <family val="2"/>
            <scheme val="minor"/>
          </rPr>
          <t>Tentative bank term loan commitment.</t>
        </r>
      </text>
    </comment>
    <comment ref="E6" authorId="0" shapeId="0" xr:uid="{00000000-0006-0000-0200-000006000000}">
      <text>
        <r>
          <rPr>
            <sz val="11"/>
            <color theme="1"/>
            <rFont val="Calibri"/>
            <family val="2"/>
            <scheme val="minor"/>
          </rPr>
          <t>Exhibit 2 inventory.</t>
        </r>
      </text>
    </comment>
    <comment ref="B7" authorId="0" shapeId="0" xr:uid="{00000000-0006-0000-0200-000007000000}">
      <text>
        <r>
          <rPr>
            <sz val="11"/>
            <color theme="1"/>
            <rFont val="Calibri"/>
            <family val="2"/>
            <scheme val="minor"/>
          </rPr>
          <t>User assumption per assignment prompt.</t>
        </r>
      </text>
    </comment>
    <comment ref="E7" authorId="0" shapeId="0" xr:uid="{00000000-0006-0000-0200-000008000000}">
      <text>
        <r>
          <rPr>
            <sz val="11"/>
            <color theme="1"/>
            <rFont val="Calibri"/>
            <family val="2"/>
            <scheme val="minor"/>
          </rPr>
          <t>Exhibit 2 prepaid expenses.</t>
        </r>
      </text>
    </comment>
    <comment ref="B8" authorId="0" shapeId="0" xr:uid="{00000000-0006-0000-0200-000009000000}">
      <text>
        <r>
          <rPr>
            <sz val="11"/>
            <color theme="1"/>
            <rFont val="Calibri"/>
            <family val="2"/>
            <scheme val="minor"/>
          </rPr>
          <t>Negotiated seller note.</t>
        </r>
      </text>
    </comment>
    <comment ref="E8" authorId="0" shapeId="0" xr:uid="{00000000-0006-0000-0200-00000A000000}">
      <text>
        <r>
          <rPr>
            <sz val="11"/>
            <color theme="1"/>
            <rFont val="Calibri"/>
            <family val="2"/>
            <scheme val="minor"/>
          </rPr>
          <t>Exhibit 2 total current liabilities.</t>
        </r>
      </text>
    </comment>
    <comment ref="E9" authorId="0" shapeId="0" xr:uid="{00000000-0006-0000-0200-00000B000000}">
      <text>
        <r>
          <rPr>
            <sz val="11"/>
            <color theme="1"/>
            <rFont val="Calibri"/>
            <family val="2"/>
            <scheme val="minor"/>
          </rPr>
          <t>Derived from Exhibit 2 current operating assets less current liabilities.</t>
        </r>
      </text>
    </comment>
    <comment ref="B10" authorId="0" shapeId="0" xr:uid="{00000000-0006-0000-0200-00000C000000}">
      <text>
        <r>
          <rPr>
            <sz val="11"/>
            <color theme="1"/>
            <rFont val="Calibri"/>
            <family val="2"/>
            <scheme val="minor"/>
          </rPr>
          <t>Exhibit 7 removes only $400 salary; add another $200 to reach the full $600 normalization.</t>
        </r>
      </text>
    </comment>
    <comment ref="E10" authorId="0" shapeId="0" xr:uid="{00000000-0006-0000-0200-00000D000000}">
      <text>
        <r>
          <rPr>
            <sz val="11"/>
            <color theme="1"/>
            <rFont val="Calibri"/>
            <family val="2"/>
            <scheme val="minor"/>
          </rPr>
          <t>Exhibit 2 property, plant and equipment, net.</t>
        </r>
      </text>
    </comment>
    <comment ref="B11" authorId="0" shapeId="0" xr:uid="{00000000-0006-0000-0200-00000E000000}">
      <text>
        <r>
          <rPr>
            <sz val="11"/>
            <color theme="1"/>
            <rFont val="Calibri"/>
            <family val="2"/>
            <scheme val="minor"/>
          </rPr>
          <t>Assumption calibrated to keep management above 51% fully diluted ownership while delivering a mid-20s VC return.</t>
        </r>
      </text>
    </comment>
    <comment ref="E11" authorId="0" shapeId="0" xr:uid="{00000000-0006-0000-0200-00000F000000}">
      <text>
        <r>
          <rPr>
            <sz val="11"/>
            <color theme="1"/>
            <rFont val="Calibri"/>
            <family val="2"/>
            <scheme val="minor"/>
          </rPr>
          <t>Exhibit 2 miscellaneous assets.</t>
        </r>
      </text>
    </comment>
    <comment ref="B12" authorId="0" shapeId="0" xr:uid="{00000000-0006-0000-0200-000010000000}">
      <text>
        <r>
          <rPr>
            <sz val="11"/>
            <color theme="1"/>
            <rFont val="Calibri"/>
            <family val="2"/>
            <scheme val="minor"/>
          </rPr>
          <t>User-editable exit assumption.</t>
        </r>
      </text>
    </comment>
    <comment ref="E12" authorId="0" shapeId="0" xr:uid="{00000000-0006-0000-0200-000011000000}">
      <text>
        <r>
          <rPr>
            <sz val="11"/>
            <color theme="1"/>
            <rFont val="Calibri"/>
            <family val="2"/>
            <scheme val="minor"/>
          </rPr>
          <t>Exhibit 2 shareholders equity.</t>
        </r>
      </text>
    </comment>
    <comment ref="B13" authorId="0" shapeId="0" xr:uid="{00000000-0006-0000-0200-000012000000}">
      <text>
        <r>
          <rPr>
            <sz val="11"/>
            <color theme="1"/>
            <rFont val="Calibri"/>
            <family val="2"/>
            <scheme val="minor"/>
          </rPr>
          <t>Page 7 discount schedule.</t>
        </r>
      </text>
    </comment>
    <comment ref="E13" authorId="0" shapeId="0" xr:uid="{00000000-0006-0000-0200-000013000000}">
      <text>
        <r>
          <rPr>
            <sz val="11"/>
            <color theme="1"/>
            <rFont val="Calibri"/>
            <family val="2"/>
            <scheme val="minor"/>
          </rPr>
          <t>Purchase price less book equity.</t>
        </r>
      </text>
    </comment>
    <comment ref="B14" authorId="0" shapeId="0" xr:uid="{00000000-0006-0000-0200-000014000000}">
      <text>
        <r>
          <rPr>
            <sz val="11"/>
            <color theme="1"/>
            <rFont val="Calibri"/>
            <family val="2"/>
            <scheme val="minor"/>
          </rPr>
          <t>Page 7 discount schedule.</t>
        </r>
      </text>
    </comment>
    <comment ref="C18" authorId="0" shapeId="0" xr:uid="{00000000-0006-0000-0200-000015000000}">
      <text>
        <r>
          <rPr>
            <sz val="11"/>
            <color theme="1"/>
            <rFont val="Calibri"/>
            <family val="2"/>
            <scheme val="minor"/>
          </rPr>
          <t>Linked to Exhibit 7 sales for 1985.</t>
        </r>
      </text>
    </comment>
    <comment ref="D18" authorId="0" shapeId="0" xr:uid="{00000000-0006-0000-0200-000016000000}">
      <text>
        <r>
          <rPr>
            <sz val="11"/>
            <color theme="1"/>
            <rFont val="Calibri"/>
            <family val="2"/>
            <scheme val="minor"/>
          </rPr>
          <t>Linked to Exhibit 7 sales for 1986.</t>
        </r>
      </text>
    </comment>
    <comment ref="E18" authorId="0" shapeId="0" xr:uid="{00000000-0006-0000-0200-000017000000}">
      <text>
        <r>
          <rPr>
            <sz val="11"/>
            <color theme="1"/>
            <rFont val="Calibri"/>
            <family val="2"/>
            <scheme val="minor"/>
          </rPr>
          <t>Linked to Exhibit 7 sales for 1987.</t>
        </r>
      </text>
    </comment>
    <comment ref="F18" authorId="0" shapeId="0" xr:uid="{00000000-0006-0000-0200-000018000000}">
      <text>
        <r>
          <rPr>
            <sz val="11"/>
            <color theme="1"/>
            <rFont val="Calibri"/>
            <family val="2"/>
            <scheme val="minor"/>
          </rPr>
          <t>Linked to Exhibit 7 sales for 1988.</t>
        </r>
      </text>
    </comment>
    <comment ref="G18" authorId="0" shapeId="0" xr:uid="{00000000-0006-0000-0200-000019000000}">
      <text>
        <r>
          <rPr>
            <sz val="11"/>
            <color theme="1"/>
            <rFont val="Calibri"/>
            <family val="2"/>
            <scheme val="minor"/>
          </rPr>
          <t>Linked to Exhibit 7 sales for 1989.</t>
        </r>
      </text>
    </comment>
    <comment ref="H18" authorId="0" shapeId="0" xr:uid="{00000000-0006-0000-0200-00001A000000}">
      <text>
        <r>
          <rPr>
            <sz val="11"/>
            <color theme="1"/>
            <rFont val="Calibri"/>
            <family val="2"/>
            <scheme val="minor"/>
          </rPr>
          <t>Linked to Exhibit 7 sales for 1990.</t>
        </r>
      </text>
    </comment>
    <comment ref="C19" authorId="0" shapeId="0" xr:uid="{00000000-0006-0000-0200-00001B000000}">
      <text>
        <r>
          <rPr>
            <sz val="11"/>
            <color theme="1"/>
            <rFont val="Calibri"/>
            <family val="2"/>
            <scheme val="minor"/>
          </rPr>
          <t>Linked to Exhibit 7 ebit (case projection) for 1985.</t>
        </r>
      </text>
    </comment>
    <comment ref="D19" authorId="0" shapeId="0" xr:uid="{00000000-0006-0000-0200-00001C000000}">
      <text>
        <r>
          <rPr>
            <sz val="11"/>
            <color theme="1"/>
            <rFont val="Calibri"/>
            <family val="2"/>
            <scheme val="minor"/>
          </rPr>
          <t>Linked to Exhibit 7 ebit (case projection) for 1986.</t>
        </r>
      </text>
    </comment>
    <comment ref="E19" authorId="0" shapeId="0" xr:uid="{00000000-0006-0000-0200-00001D000000}">
      <text>
        <r>
          <rPr>
            <sz val="11"/>
            <color theme="1"/>
            <rFont val="Calibri"/>
            <family val="2"/>
            <scheme val="minor"/>
          </rPr>
          <t>Linked to Exhibit 7 ebit (case projection) for 1987.</t>
        </r>
      </text>
    </comment>
    <comment ref="F19" authorId="0" shapeId="0" xr:uid="{00000000-0006-0000-0200-00001E000000}">
      <text>
        <r>
          <rPr>
            <sz val="11"/>
            <color theme="1"/>
            <rFont val="Calibri"/>
            <family val="2"/>
            <scheme val="minor"/>
          </rPr>
          <t>Linked to Exhibit 7 ebit (case projection) for 1988.</t>
        </r>
      </text>
    </comment>
    <comment ref="G19" authorId="0" shapeId="0" xr:uid="{00000000-0006-0000-0200-00001F000000}">
      <text>
        <r>
          <rPr>
            <sz val="11"/>
            <color theme="1"/>
            <rFont val="Calibri"/>
            <family val="2"/>
            <scheme val="minor"/>
          </rPr>
          <t>Linked to Exhibit 7 ebit (case projection) for 1989.</t>
        </r>
      </text>
    </comment>
    <comment ref="H19" authorId="0" shapeId="0" xr:uid="{00000000-0006-0000-0200-000020000000}">
      <text>
        <r>
          <rPr>
            <sz val="11"/>
            <color theme="1"/>
            <rFont val="Calibri"/>
            <family val="2"/>
            <scheme val="minor"/>
          </rPr>
          <t>Linked to Exhibit 7 ebit (case projection) for 1990.</t>
        </r>
      </text>
    </comment>
    <comment ref="C20" authorId="0" shapeId="0" xr:uid="{00000000-0006-0000-0200-000021000000}">
      <text>
        <r>
          <rPr>
            <sz val="11"/>
            <color theme="1"/>
            <rFont val="Calibri"/>
            <family val="2"/>
            <scheme val="minor"/>
          </rPr>
          <t>Linked to Exhibit 7 interest expense (case projection) for 1985.</t>
        </r>
      </text>
    </comment>
    <comment ref="D20" authorId="0" shapeId="0" xr:uid="{00000000-0006-0000-0200-000022000000}">
      <text>
        <r>
          <rPr>
            <sz val="11"/>
            <color theme="1"/>
            <rFont val="Calibri"/>
            <family val="2"/>
            <scheme val="minor"/>
          </rPr>
          <t>Linked to Exhibit 7 interest expense (case projection) for 1986.</t>
        </r>
      </text>
    </comment>
    <comment ref="E20" authorId="0" shapeId="0" xr:uid="{00000000-0006-0000-0200-000023000000}">
      <text>
        <r>
          <rPr>
            <sz val="11"/>
            <color theme="1"/>
            <rFont val="Calibri"/>
            <family val="2"/>
            <scheme val="minor"/>
          </rPr>
          <t>Linked to Exhibit 7 interest expense (case projection) for 1987.</t>
        </r>
      </text>
    </comment>
    <comment ref="F20" authorId="0" shapeId="0" xr:uid="{00000000-0006-0000-0200-000024000000}">
      <text>
        <r>
          <rPr>
            <sz val="11"/>
            <color theme="1"/>
            <rFont val="Calibri"/>
            <family val="2"/>
            <scheme val="minor"/>
          </rPr>
          <t>Linked to Exhibit 7 interest expense (case projection) for 1988.</t>
        </r>
      </text>
    </comment>
    <comment ref="G20" authorId="0" shapeId="0" xr:uid="{00000000-0006-0000-0200-000025000000}">
      <text>
        <r>
          <rPr>
            <sz val="11"/>
            <color theme="1"/>
            <rFont val="Calibri"/>
            <family val="2"/>
            <scheme val="minor"/>
          </rPr>
          <t>Linked to Exhibit 7 interest expense (case projection) for 1989.</t>
        </r>
      </text>
    </comment>
    <comment ref="H20" authorId="0" shapeId="0" xr:uid="{00000000-0006-0000-0200-000026000000}">
      <text>
        <r>
          <rPr>
            <sz val="11"/>
            <color theme="1"/>
            <rFont val="Calibri"/>
            <family val="2"/>
            <scheme val="minor"/>
          </rPr>
          <t>Linked to Exhibit 7 interest expense (case projection) for 1990.</t>
        </r>
      </text>
    </comment>
    <comment ref="C21" authorId="0" shapeId="0" xr:uid="{00000000-0006-0000-0200-000027000000}">
      <text>
        <r>
          <rPr>
            <sz val="11"/>
            <color theme="1"/>
            <rFont val="Calibri"/>
            <family val="2"/>
            <scheme val="minor"/>
          </rPr>
          <t>Linked to Exhibit 7 pre-tax income (case projection) for 1985.</t>
        </r>
      </text>
    </comment>
    <comment ref="D21" authorId="0" shapeId="0" xr:uid="{00000000-0006-0000-0200-000028000000}">
      <text>
        <r>
          <rPr>
            <sz val="11"/>
            <color theme="1"/>
            <rFont val="Calibri"/>
            <family val="2"/>
            <scheme val="minor"/>
          </rPr>
          <t>Linked to Exhibit 7 pre-tax income (case projection) for 1986.</t>
        </r>
      </text>
    </comment>
    <comment ref="E21" authorId="0" shapeId="0" xr:uid="{00000000-0006-0000-0200-000029000000}">
      <text>
        <r>
          <rPr>
            <sz val="11"/>
            <color theme="1"/>
            <rFont val="Calibri"/>
            <family val="2"/>
            <scheme val="minor"/>
          </rPr>
          <t>Linked to Exhibit 7 pre-tax income (case projection) for 1987.</t>
        </r>
      </text>
    </comment>
    <comment ref="F21" authorId="0" shapeId="0" xr:uid="{00000000-0006-0000-0200-00002A000000}">
      <text>
        <r>
          <rPr>
            <sz val="11"/>
            <color theme="1"/>
            <rFont val="Calibri"/>
            <family val="2"/>
            <scheme val="minor"/>
          </rPr>
          <t>Linked to Exhibit 7 pre-tax income (case projection) for 1988.</t>
        </r>
      </text>
    </comment>
    <comment ref="G21" authorId="0" shapeId="0" xr:uid="{00000000-0006-0000-0200-00002B000000}">
      <text>
        <r>
          <rPr>
            <sz val="11"/>
            <color theme="1"/>
            <rFont val="Calibri"/>
            <family val="2"/>
            <scheme val="minor"/>
          </rPr>
          <t>Linked to Exhibit 7 pre-tax income (case projection) for 1989.</t>
        </r>
      </text>
    </comment>
    <comment ref="H21" authorId="0" shapeId="0" xr:uid="{00000000-0006-0000-0200-00002C000000}">
      <text>
        <r>
          <rPr>
            <sz val="11"/>
            <color theme="1"/>
            <rFont val="Calibri"/>
            <family val="2"/>
            <scheme val="minor"/>
          </rPr>
          <t>Linked to Exhibit 7 pre-tax income (case projection) for 1990.</t>
        </r>
      </text>
    </comment>
    <comment ref="C22" authorId="0" shapeId="0" xr:uid="{00000000-0006-0000-0200-00002D000000}">
      <text>
        <r>
          <rPr>
            <sz val="11"/>
            <color theme="1"/>
            <rFont val="Calibri"/>
            <family val="2"/>
            <scheme val="minor"/>
          </rPr>
          <t>Linked to Exhibit 7 taxes (case projection) for 1985.</t>
        </r>
      </text>
    </comment>
    <comment ref="D22" authorId="0" shapeId="0" xr:uid="{00000000-0006-0000-0200-00002E000000}">
      <text>
        <r>
          <rPr>
            <sz val="11"/>
            <color theme="1"/>
            <rFont val="Calibri"/>
            <family val="2"/>
            <scheme val="minor"/>
          </rPr>
          <t>Linked to Exhibit 7 taxes (case projection) for 1986.</t>
        </r>
      </text>
    </comment>
    <comment ref="E22" authorId="0" shapeId="0" xr:uid="{00000000-0006-0000-0200-00002F000000}">
      <text>
        <r>
          <rPr>
            <sz val="11"/>
            <color theme="1"/>
            <rFont val="Calibri"/>
            <family val="2"/>
            <scheme val="minor"/>
          </rPr>
          <t>Linked to Exhibit 7 taxes (case projection) for 1987.</t>
        </r>
      </text>
    </comment>
    <comment ref="F22" authorId="0" shapeId="0" xr:uid="{00000000-0006-0000-0200-000030000000}">
      <text>
        <r>
          <rPr>
            <sz val="11"/>
            <color theme="1"/>
            <rFont val="Calibri"/>
            <family val="2"/>
            <scheme val="minor"/>
          </rPr>
          <t>Linked to Exhibit 7 taxes (case projection) for 1988.</t>
        </r>
      </text>
    </comment>
    <comment ref="G22" authorId="0" shapeId="0" xr:uid="{00000000-0006-0000-0200-000031000000}">
      <text>
        <r>
          <rPr>
            <sz val="11"/>
            <color theme="1"/>
            <rFont val="Calibri"/>
            <family val="2"/>
            <scheme val="minor"/>
          </rPr>
          <t>Linked to Exhibit 7 taxes (case projection) for 1989.</t>
        </r>
      </text>
    </comment>
    <comment ref="H22" authorId="0" shapeId="0" xr:uid="{00000000-0006-0000-0200-000032000000}">
      <text>
        <r>
          <rPr>
            <sz val="11"/>
            <color theme="1"/>
            <rFont val="Calibri"/>
            <family val="2"/>
            <scheme val="minor"/>
          </rPr>
          <t>Linked to Exhibit 7 taxes (case projection) for 1990.</t>
        </r>
      </text>
    </comment>
    <comment ref="C24" authorId="0" shapeId="0" xr:uid="{00000000-0006-0000-0200-000033000000}">
      <text>
        <r>
          <rPr>
            <sz val="11"/>
            <color theme="1"/>
            <rFont val="Calibri"/>
            <family val="2"/>
            <scheme val="minor"/>
          </rPr>
          <t>Linked to Exhibit 7 noncash charges for 1985.</t>
        </r>
      </text>
    </comment>
    <comment ref="D24" authorId="0" shapeId="0" xr:uid="{00000000-0006-0000-0200-000034000000}">
      <text>
        <r>
          <rPr>
            <sz val="11"/>
            <color theme="1"/>
            <rFont val="Calibri"/>
            <family val="2"/>
            <scheme val="minor"/>
          </rPr>
          <t>Linked to Exhibit 7 noncash charges for 1986.</t>
        </r>
      </text>
    </comment>
    <comment ref="E24" authorId="0" shapeId="0" xr:uid="{00000000-0006-0000-0200-000035000000}">
      <text>
        <r>
          <rPr>
            <sz val="11"/>
            <color theme="1"/>
            <rFont val="Calibri"/>
            <family val="2"/>
            <scheme val="minor"/>
          </rPr>
          <t>Linked to Exhibit 7 noncash charges for 1987.</t>
        </r>
      </text>
    </comment>
    <comment ref="F24" authorId="0" shapeId="0" xr:uid="{00000000-0006-0000-0200-000036000000}">
      <text>
        <r>
          <rPr>
            <sz val="11"/>
            <color theme="1"/>
            <rFont val="Calibri"/>
            <family val="2"/>
            <scheme val="minor"/>
          </rPr>
          <t>Linked to Exhibit 7 noncash charges for 1988.</t>
        </r>
      </text>
    </comment>
    <comment ref="G24" authorId="0" shapeId="0" xr:uid="{00000000-0006-0000-0200-000037000000}">
      <text>
        <r>
          <rPr>
            <sz val="11"/>
            <color theme="1"/>
            <rFont val="Calibri"/>
            <family val="2"/>
            <scheme val="minor"/>
          </rPr>
          <t>Linked to Exhibit 7 noncash charges for 1989.</t>
        </r>
      </text>
    </comment>
    <comment ref="H24" authorId="0" shapeId="0" xr:uid="{00000000-0006-0000-0200-000038000000}">
      <text>
        <r>
          <rPr>
            <sz val="11"/>
            <color theme="1"/>
            <rFont val="Calibri"/>
            <family val="2"/>
            <scheme val="minor"/>
          </rPr>
          <t>Linked to Exhibit 7 noncash charges for 1990.</t>
        </r>
      </text>
    </comment>
    <comment ref="C25" authorId="0" shapeId="0" xr:uid="{00000000-0006-0000-0200-000039000000}">
      <text>
        <r>
          <rPr>
            <sz val="11"/>
            <color theme="1"/>
            <rFont val="Calibri"/>
            <family val="2"/>
            <scheme val="minor"/>
          </rPr>
          <t>Linked to Exhibit 7 increase in operating working capital for 1985.</t>
        </r>
      </text>
    </comment>
    <comment ref="D25" authorId="0" shapeId="0" xr:uid="{00000000-0006-0000-0200-00003A000000}">
      <text>
        <r>
          <rPr>
            <sz val="11"/>
            <color theme="1"/>
            <rFont val="Calibri"/>
            <family val="2"/>
            <scheme val="minor"/>
          </rPr>
          <t>Linked to Exhibit 7 increase in operating working capital for 1986.</t>
        </r>
      </text>
    </comment>
    <comment ref="E25" authorId="0" shapeId="0" xr:uid="{00000000-0006-0000-0200-00003B000000}">
      <text>
        <r>
          <rPr>
            <sz val="11"/>
            <color theme="1"/>
            <rFont val="Calibri"/>
            <family val="2"/>
            <scheme val="minor"/>
          </rPr>
          <t>Linked to Exhibit 7 increase in operating working capital for 1987.</t>
        </r>
      </text>
    </comment>
    <comment ref="F25" authorId="0" shapeId="0" xr:uid="{00000000-0006-0000-0200-00003C000000}">
      <text>
        <r>
          <rPr>
            <sz val="11"/>
            <color theme="1"/>
            <rFont val="Calibri"/>
            <family val="2"/>
            <scheme val="minor"/>
          </rPr>
          <t>Linked to Exhibit 7 increase in operating working capital for 1988.</t>
        </r>
      </text>
    </comment>
    <comment ref="G25" authorId="0" shapeId="0" xr:uid="{00000000-0006-0000-0200-00003D000000}">
      <text>
        <r>
          <rPr>
            <sz val="11"/>
            <color theme="1"/>
            <rFont val="Calibri"/>
            <family val="2"/>
            <scheme val="minor"/>
          </rPr>
          <t>Linked to Exhibit 7 increase in operating working capital for 1989.</t>
        </r>
      </text>
    </comment>
    <comment ref="H25" authorId="0" shapeId="0" xr:uid="{00000000-0006-0000-0200-00003E000000}">
      <text>
        <r>
          <rPr>
            <sz val="11"/>
            <color theme="1"/>
            <rFont val="Calibri"/>
            <family val="2"/>
            <scheme val="minor"/>
          </rPr>
          <t>Linked to Exhibit 7 increase in operating working capital for 1990.</t>
        </r>
      </text>
    </comment>
    <comment ref="C26" authorId="0" shapeId="0" xr:uid="{00000000-0006-0000-0200-00003F000000}">
      <text>
        <r>
          <rPr>
            <sz val="11"/>
            <color theme="1"/>
            <rFont val="Calibri"/>
            <family val="2"/>
            <scheme val="minor"/>
          </rPr>
          <t>Linked to Exhibit 7 capital expenditures for 1985.</t>
        </r>
      </text>
    </comment>
    <comment ref="D26" authorId="0" shapeId="0" xr:uid="{00000000-0006-0000-0200-000040000000}">
      <text>
        <r>
          <rPr>
            <sz val="11"/>
            <color theme="1"/>
            <rFont val="Calibri"/>
            <family val="2"/>
            <scheme val="minor"/>
          </rPr>
          <t>Linked to Exhibit 7 capital expenditures for 1986.</t>
        </r>
      </text>
    </comment>
    <comment ref="E26" authorId="0" shapeId="0" xr:uid="{00000000-0006-0000-0200-000041000000}">
      <text>
        <r>
          <rPr>
            <sz val="11"/>
            <color theme="1"/>
            <rFont val="Calibri"/>
            <family val="2"/>
            <scheme val="minor"/>
          </rPr>
          <t>Linked to Exhibit 7 capital expenditures for 1987.</t>
        </r>
      </text>
    </comment>
    <comment ref="F26" authorId="0" shapeId="0" xr:uid="{00000000-0006-0000-0200-000042000000}">
      <text>
        <r>
          <rPr>
            <sz val="11"/>
            <color theme="1"/>
            <rFont val="Calibri"/>
            <family val="2"/>
            <scheme val="minor"/>
          </rPr>
          <t>Linked to Exhibit 7 capital expenditures for 1988.</t>
        </r>
      </text>
    </comment>
    <comment ref="G26" authorId="0" shapeId="0" xr:uid="{00000000-0006-0000-0200-000043000000}">
      <text>
        <r>
          <rPr>
            <sz val="11"/>
            <color theme="1"/>
            <rFont val="Calibri"/>
            <family val="2"/>
            <scheme val="minor"/>
          </rPr>
          <t>Linked to Exhibit 7 capital expenditures for 1989.</t>
        </r>
      </text>
    </comment>
    <comment ref="H26" authorId="0" shapeId="0" xr:uid="{00000000-0006-0000-0200-000044000000}">
      <text>
        <r>
          <rPr>
            <sz val="11"/>
            <color theme="1"/>
            <rFont val="Calibri"/>
            <family val="2"/>
            <scheme val="minor"/>
          </rPr>
          <t>Linked to Exhibit 7 capital expenditures for 1990.</t>
        </r>
      </text>
    </comment>
    <comment ref="C27" authorId="0" shapeId="0" xr:uid="{00000000-0006-0000-0200-000045000000}">
      <text>
        <r>
          <rPr>
            <sz val="11"/>
            <color theme="1"/>
            <rFont val="Calibri"/>
            <family val="2"/>
            <scheme val="minor"/>
          </rPr>
          <t>Linked to Exhibit 7 original bank cash paydown for 1985.</t>
        </r>
      </text>
    </comment>
    <comment ref="D27" authorId="0" shapeId="0" xr:uid="{00000000-0006-0000-0200-000046000000}">
      <text>
        <r>
          <rPr>
            <sz val="11"/>
            <color theme="1"/>
            <rFont val="Calibri"/>
            <family val="2"/>
            <scheme val="minor"/>
          </rPr>
          <t>Linked to Exhibit 7 original bank cash paydown for 1986.</t>
        </r>
      </text>
    </comment>
    <comment ref="E27" authorId="0" shapeId="0" xr:uid="{00000000-0006-0000-0200-000047000000}">
      <text>
        <r>
          <rPr>
            <sz val="11"/>
            <color theme="1"/>
            <rFont val="Calibri"/>
            <family val="2"/>
            <scheme val="minor"/>
          </rPr>
          <t>Linked to Exhibit 7 original bank cash paydown for 1987.</t>
        </r>
      </text>
    </comment>
    <comment ref="F27" authorId="0" shapeId="0" xr:uid="{00000000-0006-0000-0200-000048000000}">
      <text>
        <r>
          <rPr>
            <sz val="11"/>
            <color theme="1"/>
            <rFont val="Calibri"/>
            <family val="2"/>
            <scheme val="minor"/>
          </rPr>
          <t>Linked to Exhibit 7 original bank cash paydown for 1988.</t>
        </r>
      </text>
    </comment>
    <comment ref="G27" authorId="0" shapeId="0" xr:uid="{00000000-0006-0000-0200-000049000000}">
      <text>
        <r>
          <rPr>
            <sz val="11"/>
            <color theme="1"/>
            <rFont val="Calibri"/>
            <family val="2"/>
            <scheme val="minor"/>
          </rPr>
          <t>Linked to Exhibit 7 original bank cash paydown for 1989.</t>
        </r>
      </text>
    </comment>
    <comment ref="H27" authorId="0" shapeId="0" xr:uid="{00000000-0006-0000-0200-00004A000000}">
      <text>
        <r>
          <rPr>
            <sz val="11"/>
            <color theme="1"/>
            <rFont val="Calibri"/>
            <family val="2"/>
            <scheme val="minor"/>
          </rPr>
          <t>Reclassification assumption: the 1990 "Bank loan" paydown in Exhibit 7 is treated as repayment of the 1989 refinancing term loan, not the original bank loan.</t>
        </r>
      </text>
    </comment>
    <comment ref="C28" authorId="0" shapeId="0" xr:uid="{00000000-0006-0000-0200-00004B000000}">
      <text>
        <r>
          <rPr>
            <sz val="11"/>
            <color theme="1"/>
            <rFont val="Calibri"/>
            <family val="2"/>
            <scheme val="minor"/>
          </rPr>
          <t>Linked to Exhibit 7 seller note cash paydown for 1985.</t>
        </r>
      </text>
    </comment>
    <comment ref="D28" authorId="0" shapeId="0" xr:uid="{00000000-0006-0000-0200-00004C000000}">
      <text>
        <r>
          <rPr>
            <sz val="11"/>
            <color theme="1"/>
            <rFont val="Calibri"/>
            <family val="2"/>
            <scheme val="minor"/>
          </rPr>
          <t>Linked to Exhibit 7 seller note cash paydown for 1986.</t>
        </r>
      </text>
    </comment>
    <comment ref="E28" authorId="0" shapeId="0" xr:uid="{00000000-0006-0000-0200-00004D000000}">
      <text>
        <r>
          <rPr>
            <sz val="11"/>
            <color theme="1"/>
            <rFont val="Calibri"/>
            <family val="2"/>
            <scheme val="minor"/>
          </rPr>
          <t>Linked to Exhibit 7 seller note cash paydown for 1987.</t>
        </r>
      </text>
    </comment>
    <comment ref="F28" authorId="0" shapeId="0" xr:uid="{00000000-0006-0000-0200-00004E000000}">
      <text>
        <r>
          <rPr>
            <sz val="11"/>
            <color theme="1"/>
            <rFont val="Calibri"/>
            <family val="2"/>
            <scheme val="minor"/>
          </rPr>
          <t>Linked to Exhibit 7 seller note cash paydown for 1988.</t>
        </r>
      </text>
    </comment>
    <comment ref="G28" authorId="0" shapeId="0" xr:uid="{00000000-0006-0000-0200-00004F000000}">
      <text>
        <r>
          <rPr>
            <sz val="11"/>
            <color theme="1"/>
            <rFont val="Calibri"/>
            <family val="2"/>
            <scheme val="minor"/>
          </rPr>
          <t>Assumption / cleanup based on Exhibit 7 published value "4,766c" and note that the remaining seller note is refinanced in 1989.</t>
        </r>
      </text>
    </comment>
    <comment ref="H28" authorId="0" shapeId="0" xr:uid="{00000000-0006-0000-0200-000050000000}">
      <text>
        <r>
          <rPr>
            <sz val="11"/>
            <color theme="1"/>
            <rFont val="Calibri"/>
            <family val="2"/>
            <scheme val="minor"/>
          </rPr>
          <t>Linked to Exhibit 7 seller note cash paydown for 1990.</t>
        </r>
      </text>
    </comment>
    <comment ref="C29" authorId="0" shapeId="0" xr:uid="{00000000-0006-0000-0200-000051000000}">
      <text>
        <r>
          <rPr>
            <sz val="11"/>
            <color theme="1"/>
            <rFont val="Calibri"/>
            <family val="2"/>
            <scheme val="minor"/>
          </rPr>
          <t>Linked to Exhibit 7 vc subordinated paydown for 1985.</t>
        </r>
      </text>
    </comment>
    <comment ref="D29" authorId="0" shapeId="0" xr:uid="{00000000-0006-0000-0200-000052000000}">
      <text>
        <r>
          <rPr>
            <sz val="11"/>
            <color theme="1"/>
            <rFont val="Calibri"/>
            <family val="2"/>
            <scheme val="minor"/>
          </rPr>
          <t>Linked to Exhibit 7 vc subordinated paydown for 1986.</t>
        </r>
      </text>
    </comment>
    <comment ref="E29" authorId="0" shapeId="0" xr:uid="{00000000-0006-0000-0200-000053000000}">
      <text>
        <r>
          <rPr>
            <sz val="11"/>
            <color theme="1"/>
            <rFont val="Calibri"/>
            <family val="2"/>
            <scheme val="minor"/>
          </rPr>
          <t>Linked to Exhibit 7 vc subordinated paydown for 1987.</t>
        </r>
      </text>
    </comment>
    <comment ref="F29" authorId="0" shapeId="0" xr:uid="{00000000-0006-0000-0200-000054000000}">
      <text>
        <r>
          <rPr>
            <sz val="11"/>
            <color theme="1"/>
            <rFont val="Calibri"/>
            <family val="2"/>
            <scheme val="minor"/>
          </rPr>
          <t>Linked to Exhibit 7 vc subordinated paydown for 1988.</t>
        </r>
      </text>
    </comment>
    <comment ref="G29" authorId="0" shapeId="0" xr:uid="{00000000-0006-0000-0200-000055000000}">
      <text>
        <r>
          <rPr>
            <sz val="11"/>
            <color theme="1"/>
            <rFont val="Calibri"/>
            <family val="2"/>
            <scheme val="minor"/>
          </rPr>
          <t>Linked to Exhibit 7 vc subordinated paydown for 1989.</t>
        </r>
      </text>
    </comment>
    <comment ref="H29" authorId="0" shapeId="0" xr:uid="{00000000-0006-0000-0200-000056000000}">
      <text>
        <r>
          <rPr>
            <sz val="11"/>
            <color theme="1"/>
            <rFont val="Calibri"/>
            <family val="2"/>
            <scheme val="minor"/>
          </rPr>
          <t>Linked to Exhibit 7 vc subordinated paydown for 1990.</t>
        </r>
      </text>
    </comment>
    <comment ref="C30" authorId="0" shapeId="0" xr:uid="{00000000-0006-0000-0200-000057000000}">
      <text>
        <r>
          <rPr>
            <sz val="11"/>
            <color theme="1"/>
            <rFont val="Calibri"/>
            <family val="2"/>
            <scheme val="minor"/>
          </rPr>
          <t>Assumption from Exhibit 7 footnote: new $2.8 million bank term loan in 1989.</t>
        </r>
      </text>
    </comment>
    <comment ref="D30" authorId="0" shapeId="0" xr:uid="{00000000-0006-0000-0200-000058000000}">
      <text>
        <r>
          <rPr>
            <sz val="11"/>
            <color theme="1"/>
            <rFont val="Calibri"/>
            <family val="2"/>
            <scheme val="minor"/>
          </rPr>
          <t>Assumption from Exhibit 7 footnote: new $2.8 million bank term loan in 1989.</t>
        </r>
      </text>
    </comment>
    <comment ref="E30" authorId="0" shapeId="0" xr:uid="{00000000-0006-0000-0200-000059000000}">
      <text>
        <r>
          <rPr>
            <sz val="11"/>
            <color theme="1"/>
            <rFont val="Calibri"/>
            <family val="2"/>
            <scheme val="minor"/>
          </rPr>
          <t>Assumption from Exhibit 7 footnote: new $2.8 million bank term loan in 1989.</t>
        </r>
      </text>
    </comment>
    <comment ref="F30" authorId="0" shapeId="0" xr:uid="{00000000-0006-0000-0200-00005A000000}">
      <text>
        <r>
          <rPr>
            <sz val="11"/>
            <color theme="1"/>
            <rFont val="Calibri"/>
            <family val="2"/>
            <scheme val="minor"/>
          </rPr>
          <t>Assumption from Exhibit 7 footnote: new $2.8 million bank term loan in 1989.</t>
        </r>
      </text>
    </comment>
    <comment ref="G30" authorId="0" shapeId="0" xr:uid="{00000000-0006-0000-0200-00005B000000}">
      <text>
        <r>
          <rPr>
            <sz val="11"/>
            <color theme="1"/>
            <rFont val="Calibri"/>
            <family val="2"/>
            <scheme val="minor"/>
          </rPr>
          <t>Assumption from Exhibit 7 footnote: new $2.8 million bank term loan in 1989.</t>
        </r>
      </text>
    </comment>
    <comment ref="H30" authorId="0" shapeId="0" xr:uid="{00000000-0006-0000-0200-00005C000000}">
      <text>
        <r>
          <rPr>
            <sz val="11"/>
            <color theme="1"/>
            <rFont val="Calibri"/>
            <family val="2"/>
            <scheme val="minor"/>
          </rPr>
          <t>Assumption from Exhibit 7 footnote: new $2.8 million bank term loan in 1989.</t>
        </r>
      </text>
    </comment>
    <comment ref="C31" authorId="0" shapeId="0" xr:uid="{00000000-0006-0000-0200-00005D000000}">
      <text>
        <r>
          <rPr>
            <sz val="11"/>
            <color theme="1"/>
            <rFont val="Calibri"/>
            <family val="2"/>
            <scheme val="minor"/>
          </rPr>
          <t>Assumption from Exhibit 7 planned debt retirement: $2.002 million refi bank paydown in 1990.</t>
        </r>
      </text>
    </comment>
    <comment ref="D31" authorId="0" shapeId="0" xr:uid="{00000000-0006-0000-0200-00005E000000}">
      <text>
        <r>
          <rPr>
            <sz val="11"/>
            <color theme="1"/>
            <rFont val="Calibri"/>
            <family val="2"/>
            <scheme val="minor"/>
          </rPr>
          <t>Assumption from Exhibit 7 planned debt retirement: $2.002 million refi bank paydown in 1990.</t>
        </r>
      </text>
    </comment>
    <comment ref="E31" authorId="0" shapeId="0" xr:uid="{00000000-0006-0000-0200-00005F000000}">
      <text>
        <r>
          <rPr>
            <sz val="11"/>
            <color theme="1"/>
            <rFont val="Calibri"/>
            <family val="2"/>
            <scheme val="minor"/>
          </rPr>
          <t>Assumption from Exhibit 7 planned debt retirement: $2.002 million refi bank paydown in 1990.</t>
        </r>
      </text>
    </comment>
    <comment ref="F31" authorId="0" shapeId="0" xr:uid="{00000000-0006-0000-0200-000060000000}">
      <text>
        <r>
          <rPr>
            <sz val="11"/>
            <color theme="1"/>
            <rFont val="Calibri"/>
            <family val="2"/>
            <scheme val="minor"/>
          </rPr>
          <t>Assumption from Exhibit 7 planned debt retirement: $2.002 million refi bank paydown in 1990.</t>
        </r>
      </text>
    </comment>
    <comment ref="G31" authorId="0" shapeId="0" xr:uid="{00000000-0006-0000-0200-000061000000}">
      <text>
        <r>
          <rPr>
            <sz val="11"/>
            <color theme="1"/>
            <rFont val="Calibri"/>
            <family val="2"/>
            <scheme val="minor"/>
          </rPr>
          <t>Assumption from Exhibit 7 planned debt retirement: $2.002 million refi bank paydown in 1990.</t>
        </r>
      </text>
    </comment>
    <comment ref="H31" authorId="0" shapeId="0" xr:uid="{00000000-0006-0000-0200-000062000000}">
      <text>
        <r>
          <rPr>
            <sz val="11"/>
            <color theme="1"/>
            <rFont val="Calibri"/>
            <family val="2"/>
            <scheme val="minor"/>
          </rPr>
          <t>Assumption from Exhibit 7 planned debt retirement: $2.002 million refi bank paydown in 1990.</t>
        </r>
      </text>
    </comment>
  </commentList>
</comments>
</file>

<file path=xl/sharedStrings.xml><?xml version="1.0" encoding="utf-8"?>
<sst xmlns="http://schemas.openxmlformats.org/spreadsheetml/2006/main" count="377" uniqueCount="215">
  <si>
    <t>Specialty Manufacturer - Submission Model</t>
  </si>
  <si>
    <t>Key assumptions</t>
  </si>
  <si>
    <t>Sheet map</t>
  </si>
  <si>
    <t>- Purchase price fixed at $20.0 million, funded by management equity, senior bank debt, a VC subordinated note, a seller note, and use of target cash at close.</t>
  </si>
  <si>
    <t>Inputs</t>
  </si>
  <si>
    <t>- Exhibit 7 is the operating projection base. Because Exhibit 7 only removes John Case's $400 salary, the model adds a further $200 to EBIT to reflect the full $600 excess-compensation normalization requested in the assignment.</t>
  </si>
  <si>
    <t>Raw_Case_Data</t>
  </si>
  <si>
    <t>- Interest expense is linked to Exhibit 7 management projections rather than fully rebuilt from average balances because the case does not disclose enough seasonal revolver detail to reconstruct it precisely.</t>
  </si>
  <si>
    <t>Sources_Uses</t>
  </si>
  <si>
    <t>- The projected balance sheet is shown on a condensed basis using net operating working capital (A/R + inventory + prepaids - current liabilities).</t>
  </si>
  <si>
    <t>Debt_Schedule</t>
  </si>
  <si>
    <t>- Seller note payoff uses the published discount schedule and fully retires the note in 1989 despite a small rounding difference in the case paydown figures.</t>
  </si>
  <si>
    <t>Income_Statement</t>
  </si>
  <si>
    <t>Cash_Flow</t>
  </si>
  <si>
    <t>Balance_Sheet</t>
  </si>
  <si>
    <t>Returns_Analysis</t>
  </si>
  <si>
    <t>Selected Case Inputs Imported from the Uploaded Workbook</t>
  </si>
  <si>
    <t>Source workbook: Specialty Manufacturer Company.xls</t>
  </si>
  <si>
    <t>Exhibit 2 - 1984 Balance Sheet</t>
  </si>
  <si>
    <t>Exhibit 2     Consolidated Balance Sheet as of December 31, 1984 ($ 000s)</t>
  </si>
  <si>
    <t/>
  </si>
  <si>
    <t>ASSETS</t>
  </si>
  <si>
    <t>LIABILITIES AND SHAREHOLDERS’ EQUITY</t>
  </si>
  <si>
    <t>Current assets:</t>
  </si>
  <si>
    <t>Current liabilities:</t>
  </si>
  <si>
    <t>Cash and marketable securities</t>
  </si>
  <si>
    <t>Accounts payable</t>
  </si>
  <si>
    <t>Accounts receivable</t>
  </si>
  <si>
    <t>Accrued expenses</t>
  </si>
  <si>
    <t>Inventories at lower of cost or market</t>
  </si>
  <si>
    <t>Accrued income taxes</t>
  </si>
  <si>
    <t>Prepaid expenses</t>
  </si>
  <si>
    <t>Total current liabilities</t>
  </si>
  <si>
    <t>Total current assets</t>
  </si>
  <si>
    <t>Common stock ($1.00 par value)</t>
  </si>
  <si>
    <t>Property, plant, and equipment, net</t>
  </si>
  <si>
    <t>Retained profits</t>
  </si>
  <si>
    <t>Miscellaneous assets</t>
  </si>
  <si>
    <t>Shareholders’ equity</t>
  </si>
  <si>
    <t>Total assets</t>
  </si>
  <si>
    <t>Total liabilities and 
shareholders’ equity</t>
  </si>
  <si>
    <t>Exhibit 4 - 1984 Monthly Working Capital</t>
  </si>
  <si>
    <t>Exhibit 4     Monthly Working Capital Balances, 1984 ($ 000s)</t>
  </si>
  <si>
    <t>Jan.</t>
  </si>
  <si>
    <t>Feb.</t>
  </si>
  <si>
    <t>Mar.</t>
  </si>
  <si>
    <t>Apr.</t>
  </si>
  <si>
    <t>May</t>
  </si>
  <si>
    <t>Jun.</t>
  </si>
  <si>
    <t>Jul.</t>
  </si>
  <si>
    <t>Aug.</t>
  </si>
  <si>
    <t>Sep.</t>
  </si>
  <si>
    <t>Oct.</t>
  </si>
  <si>
    <t>Nov.</t>
  </si>
  <si>
    <t>Dec.</t>
  </si>
  <si>
    <t>Cash</t>
  </si>
  <si>
    <t>Inventories</t>
  </si>
  <si>
    <t>Current liabilities</t>
  </si>
  <si>
    <t>Net working capital</t>
  </si>
  <si>
    <t>Exhibit 7 - Forecast</t>
  </si>
  <si>
    <t>Exhibit 7     Cash Flow Forecasts 1985 - 1990 ($ 000s)</t>
  </si>
  <si>
    <t>Net sales</t>
  </si>
  <si>
    <t>Earnings before interest and taxesa</t>
  </si>
  <si>
    <t>Interest expenseb</t>
  </si>
  <si>
    <t>Profit before tax</t>
  </si>
  <si>
    <t>Taxes</t>
  </si>
  <si>
    <t>Profit after tax</t>
  </si>
  <si>
    <t>Add back: Noncash charges</t>
  </si>
  <si>
    <t>Cash flow from operations</t>
  </si>
  <si>
    <t>Less: Increase in working capital</t>
  </si>
  <si>
    <t>Less: Capital expenditures</t>
  </si>
  <si>
    <t>Available for debt retirement</t>
  </si>
  <si>
    <t>Planned debt retirement:</t>
  </si>
  <si>
    <t>Bank loan</t>
  </si>
  <si>
    <t>Case’s loan</t>
  </si>
  <si>
    <t>4,766c</t>
  </si>
  <si>
    <t>Subordinated loan</t>
  </si>
  <si>
    <t>Debt as % of total capital</t>
  </si>
  <si>
    <t>aReflects elimination of John Case’s salary.</t>
  </si>
  <si>
    <t>b9% coupon on subordinated loan of $6 million; 4% coupon on seller’s note of $6 million; 12% rate on bank term loan; 10% rate on seasonal loan.</t>
  </si>
  <si>
    <t>cJohn Case’s note is retired from cash flow and a $2.8 million new bank term loan in 1989.</t>
  </si>
  <si>
    <t>Page 7 - Seller Note Discount Schedule</t>
  </si>
  <si>
    <t>Year</t>
  </si>
  <si>
    <t>% of Face Value</t>
  </si>
  <si>
    <t>Inputs and Controls</t>
  </si>
  <si>
    <t>Transaction / control assumptions</t>
  </si>
  <si>
    <t>Case-linked starting balances</t>
  </si>
  <si>
    <t>Purchase price</t>
  </si>
  <si>
    <t>Opening cash before close</t>
  </si>
  <si>
    <t>Management common equity</t>
  </si>
  <si>
    <t>Opening accounts receivable</t>
  </si>
  <si>
    <t>Senior bank loan at close</t>
  </si>
  <si>
    <t>Opening inventory</t>
  </si>
  <si>
    <t>VC subordinated note at close</t>
  </si>
  <si>
    <t>Opening prepaids</t>
  </si>
  <si>
    <t>Seller note at close</t>
  </si>
  <si>
    <t>Opening current liabilities</t>
  </si>
  <si>
    <t>Target cash used at close</t>
  </si>
  <si>
    <t>Opening net operating working capital</t>
  </si>
  <si>
    <t>Incremental comp add-back vs Exhibit 7 EBIT</t>
  </si>
  <si>
    <t>Opening net PP&amp;E</t>
  </si>
  <si>
    <t>VC warrants (shares)</t>
  </si>
  <si>
    <t>Other assets</t>
  </si>
  <si>
    <t>Exit EBITDA multiple</t>
  </si>
  <si>
    <t>Book equity</t>
  </si>
  <si>
    <t>Seller note 1988 payoff discount</t>
  </si>
  <si>
    <t>Goodwill at close</t>
  </si>
  <si>
    <t>Seller note 1989 payoff discount</t>
  </si>
  <si>
    <t>Projection inputs</t>
  </si>
  <si>
    <t>Sales</t>
  </si>
  <si>
    <t>EBIT (case projection)</t>
  </si>
  <si>
    <t>Interest expense (case projection)</t>
  </si>
  <si>
    <t>Pre-tax income (case projection)</t>
  </si>
  <si>
    <t>Taxes (case projection)</t>
  </si>
  <si>
    <t>Implied tax rate</t>
  </si>
  <si>
    <t>Noncash charges</t>
  </si>
  <si>
    <t>Increase in operating working capital</t>
  </si>
  <si>
    <t>Capital expenditures</t>
  </si>
  <si>
    <t>Original bank cash paydown</t>
  </si>
  <si>
    <t>Seller note cash paydown</t>
  </si>
  <si>
    <t>VC subordinated paydown</t>
  </si>
  <si>
    <t>New bank issuance (1989 refi)</t>
  </si>
  <si>
    <t>New bank paydown</t>
  </si>
  <si>
    <t>Sources and Uses at Close</t>
  </si>
  <si>
    <t>Uses</t>
  </si>
  <si>
    <t>Purchase of equity</t>
  </si>
  <si>
    <t>Total uses</t>
  </si>
  <si>
    <t>Sources</t>
  </si>
  <si>
    <t>Senior bank term loan</t>
  </si>
  <si>
    <t>VC subordinated note</t>
  </si>
  <si>
    <t>Seller note</t>
  </si>
  <si>
    <t>Total sources</t>
  </si>
  <si>
    <t>Check</t>
  </si>
  <si>
    <t>Projected Debt Schedule</t>
  </si>
  <si>
    <t>Original bank - opening</t>
  </si>
  <si>
    <t>Original bank - paydown</t>
  </si>
  <si>
    <t>Original bank - ending</t>
  </si>
  <si>
    <t>New bank refi - opening</t>
  </si>
  <si>
    <t>0</t>
  </si>
  <si>
    <t>New bank refi - new issuance</t>
  </si>
  <si>
    <t>New bank refi - paydown</t>
  </si>
  <si>
    <t>New bank refi - ending</t>
  </si>
  <si>
    <t>Seller note - opening face</t>
  </si>
  <si>
    <t>Seller note - cash paydown</t>
  </si>
  <si>
    <t>Seller note - face retired</t>
  </si>
  <si>
    <t>Seller note - ending face</t>
  </si>
  <si>
    <t>VC subordinated - opening</t>
  </si>
  <si>
    <t>VC subordinated - paydown</t>
  </si>
  <si>
    <t>VC subordinated - ending</t>
  </si>
  <si>
    <t>Total debt</t>
  </si>
  <si>
    <t>Debt / total capital</t>
  </si>
  <si>
    <t>Projected Income Statement</t>
  </si>
  <si>
    <t>Incremental comp adjustment</t>
  </si>
  <si>
    <t>Adjusted EBIT</t>
  </si>
  <si>
    <t>Interest expense</t>
  </si>
  <si>
    <t>Pre-tax income</t>
  </si>
  <si>
    <t>Tax rate</t>
  </si>
  <si>
    <t>Net income</t>
  </si>
  <si>
    <t>EBIT margin</t>
  </si>
  <si>
    <t>Projected Cash Flow Statement</t>
  </si>
  <si>
    <t>Increase in working capital</t>
  </si>
  <si>
    <t>Free cash flow before debt service</t>
  </si>
  <si>
    <t>Original bank paydown</t>
  </si>
  <si>
    <t>New bank issuance</t>
  </si>
  <si>
    <t>Net change in cash</t>
  </si>
  <si>
    <t>Beginning cash</t>
  </si>
  <si>
    <t>Ending cash</t>
  </si>
  <si>
    <t>Condensed Projected Balance Sheet</t>
  </si>
  <si>
    <t>PF Close</t>
  </si>
  <si>
    <t>Net operating working capital</t>
  </si>
  <si>
    <t>Net PP&amp;E</t>
  </si>
  <si>
    <t>Goodwill</t>
  </si>
  <si>
    <t>Original bank</t>
  </si>
  <si>
    <t>New bank refi</t>
  </si>
  <si>
    <t>Equity</t>
  </si>
  <si>
    <t>Total liabilities &amp; equity</t>
  </si>
  <si>
    <t>Ownership and Return Analysis</t>
  </si>
  <si>
    <t>Ownership</t>
  </si>
  <si>
    <t>Exit value (1990)</t>
  </si>
  <si>
    <t>Management shares</t>
  </si>
  <si>
    <t>Adjusted EBIT (1990)</t>
  </si>
  <si>
    <t>VC warrants</t>
  </si>
  <si>
    <t>Noncash charges (1990)</t>
  </si>
  <si>
    <t>Fully diluted shares</t>
  </si>
  <si>
    <t>Exit EBITDA (1990)</t>
  </si>
  <si>
    <t>Management FD ownership</t>
  </si>
  <si>
    <t>VC FD ownership</t>
  </si>
  <si>
    <t>Enterprise value</t>
  </si>
  <si>
    <t>Less: debt at exit</t>
  </si>
  <si>
    <t>Add: cash at exit</t>
  </si>
  <si>
    <t>Implied equity value</t>
  </si>
  <si>
    <t>Management equity value</t>
  </si>
  <si>
    <t>Management MOIC</t>
  </si>
  <si>
    <t>VC warrant value</t>
  </si>
  <si>
    <t>VC note principal at exit</t>
  </si>
  <si>
    <t>VC annual coupon</t>
  </si>
  <si>
    <t>VC IRR</t>
  </si>
  <si>
    <t>t0</t>
  </si>
  <si>
    <t>1985</t>
  </si>
  <si>
    <t>1986</t>
  </si>
  <si>
    <t>1987</t>
  </si>
  <si>
    <t>1988</t>
  </si>
  <si>
    <t>1989</t>
  </si>
  <si>
    <t>1990 exit</t>
  </si>
  <si>
    <t>VC cash flows</t>
  </si>
  <si>
    <t>Sources, uses and sponsor returns</t>
  </si>
  <si>
    <t>Historical portfolio analysis; original dates, assumptions and units retained</t>
  </si>
  <si>
    <t>Acquisition financing, original case units</t>
  </si>
  <si>
    <t>Subordinated note</t>
  </si>
  <si>
    <t>Sources less uses</t>
  </si>
  <si>
    <t>Debt and cash forecast</t>
  </si>
  <si>
    <t>Ending debt</t>
  </si>
  <si>
    <t>Total liabilities and equity</t>
  </si>
  <si>
    <t>Balance-sheet difference</t>
  </si>
  <si>
    <t>Debt-tranche retirement, seller-note discounts, ownership dilution and the original return analysis retain their case-specific mechanics.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</si>
</sst>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[Red]\(#,##0\);\-"/>
    <numFmt numFmtId="165" formatCode="\$#,##0_);[Red]\(\$#,##0\);\-"/>
    <numFmt numFmtId="166" formatCode="0.0\x"/>
    <numFmt numFmtId="167" formatCode="0.0%"/>
    <numFmt numFmtId="168" formatCode="#,##0.0;\(#,##0.0\);&quot;-&quot;"/>
  </numFmts>
  <fonts count="21" x14ac:knownFonts="1">
    <font>
      <sz val="11"/>
      <color theme="1"/>
      <name val="Calibri"/>
      <family val="2"/>
      <scheme val="minor"/>
    </font>
    <font>
      <b/>
      <sz val="11"/>
      <color rgb="FFFFFFFF"/>
      <name val="Aptos"/>
    </font>
    <font>
      <b/>
      <sz val="11"/>
      <color rgb="FF1F4E78"/>
      <name val="Aptos"/>
    </font>
    <font>
      <sz val="10"/>
      <name val="Aptos"/>
    </font>
    <font>
      <b/>
      <sz val="10"/>
      <color rgb="FF1F4E78"/>
      <name val="Aptos"/>
    </font>
    <font>
      <i/>
      <sz val="9"/>
      <color rgb="FF666666"/>
      <name val="Aptos"/>
    </font>
    <font>
      <sz val="10"/>
      <color rgb="FF008000"/>
      <name val="Aptos"/>
    </font>
    <font>
      <sz val="10"/>
      <color rgb="FF0000FF"/>
      <name val="Aptos"/>
    </font>
    <font>
      <sz val="10"/>
      <color rgb="FF000000"/>
      <name val="Aptos"/>
    </font>
    <font>
      <b/>
      <sz val="10"/>
      <name val="Aptos"/>
    </font>
    <font>
      <b/>
      <sz val="10"/>
      <color rgb="FF000000"/>
      <name val="Aptos"/>
    </font>
    <font>
      <sz val="9"/>
      <name val="Aptos"/>
    </font>
    <font>
      <sz val="10"/>
      <name val="Arial"/>
    </font>
    <font>
      <b/>
      <sz val="15"/>
      <color rgb="FF000000"/>
      <name val="Arial"/>
    </font>
    <font>
      <i/>
      <sz val="10"/>
      <color rgb="FF555555"/>
      <name val="Arial"/>
    </font>
    <font>
      <b/>
      <sz val="10"/>
      <color rgb="FFFFFFFF"/>
      <name val="Arial"/>
    </font>
    <font>
      <sz val="10"/>
      <color rgb="FF008000"/>
      <name val="Arial"/>
    </font>
    <font>
      <sz val="9"/>
      <color rgb="FF555555"/>
      <name val="Arial"/>
    </font>
    <font>
      <b/>
      <sz val="10"/>
      <name val="Arial"/>
    </font>
    <font>
      <b/>
      <sz val="10"/>
      <color rgb="FF008000"/>
      <name val="Arial"/>
    </font>
    <font>
      <b/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none"/>
    </fill>
    <fill>
      <patternFill patternType="solid">
        <fgColor rgb="FF244A73"/>
      </patternFill>
    </fill>
  </fills>
  <borders count="5">
    <border>
      <left/>
      <right/>
      <top/>
      <bottom/>
      <diagonal/>
    </border>
    <border>
      <left/>
      <right/>
      <top style="medium">
        <color rgb="FF1F4E78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164" fontId="6" fillId="0" borderId="0" xfId="0" applyNumberFormat="1" applyFont="1" applyAlignment="1">
      <alignment horizontal="right" vertical="center"/>
    </xf>
    <xf numFmtId="0" fontId="3" fillId="0" borderId="0" xfId="0" applyFont="1"/>
    <xf numFmtId="165" fontId="7" fillId="3" borderId="0" xfId="0" applyNumberFormat="1" applyFont="1" applyFill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165" fontId="8" fillId="3" borderId="0" xfId="0" applyNumberFormat="1" applyFont="1" applyFill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4" fontId="7" fillId="3" borderId="0" xfId="0" applyNumberFormat="1" applyFont="1" applyFill="1" applyAlignment="1">
      <alignment horizontal="right" vertical="center"/>
    </xf>
    <xf numFmtId="166" fontId="7" fillId="3" borderId="0" xfId="0" applyNumberFormat="1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167" fontId="8" fillId="0" borderId="0" xfId="0" applyNumberFormat="1" applyFont="1" applyAlignment="1">
      <alignment horizontal="right" vertical="center"/>
    </xf>
    <xf numFmtId="0" fontId="9" fillId="0" borderId="1" xfId="0" applyFont="1" applyBorder="1"/>
    <xf numFmtId="165" fontId="10" fillId="0" borderId="1" xfId="0" applyNumberFormat="1" applyFont="1" applyBorder="1" applyAlignment="1">
      <alignment horizontal="right" vertical="center"/>
    </xf>
    <xf numFmtId="165" fontId="10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/>
    <xf numFmtId="0" fontId="0" fillId="0" borderId="1" xfId="0" applyBorder="1"/>
    <xf numFmtId="165" fontId="8" fillId="0" borderId="1" xfId="0" applyNumberFormat="1" applyFont="1" applyBorder="1" applyAlignment="1">
      <alignment horizontal="right" vertical="center"/>
    </xf>
    <xf numFmtId="0" fontId="1" fillId="2" borderId="0" xfId="0" applyFont="1" applyFill="1" applyAlignment="1">
      <alignment horizontal="center"/>
    </xf>
    <xf numFmtId="165" fontId="10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7" fontId="10" fillId="0" borderId="0" xfId="0" applyNumberFormat="1" applyFont="1" applyAlignment="1">
      <alignment horizontal="right" vertical="center"/>
    </xf>
    <xf numFmtId="166" fontId="8" fillId="0" borderId="0" xfId="0" applyNumberFormat="1" applyFont="1" applyAlignment="1">
      <alignment horizontal="right" vertical="center"/>
    </xf>
    <xf numFmtId="166" fontId="10" fillId="0" borderId="0" xfId="0" applyNumberFormat="1" applyFont="1" applyAlignment="1">
      <alignment horizontal="right" vertical="center"/>
    </xf>
    <xf numFmtId="0" fontId="11" fillId="0" borderId="0" xfId="0" applyFont="1"/>
    <xf numFmtId="0" fontId="3" fillId="0" borderId="0" xfId="0" applyFont="1" applyAlignment="1">
      <alignment vertical="top" wrapText="1"/>
    </xf>
    <xf numFmtId="0" fontId="11" fillId="0" borderId="0" xfId="0" applyFont="1" applyAlignment="1">
      <alignment horizontal="center" vertical="center"/>
    </xf>
    <xf numFmtId="0" fontId="12" fillId="4" borderId="2" xfId="0" applyFont="1" applyFill="1" applyBorder="1" applyAlignment="1">
      <alignment vertical="center"/>
    </xf>
    <xf numFmtId="168" fontId="12" fillId="4" borderId="2" xfId="0" applyNumberFormat="1" applyFont="1" applyFill="1" applyBorder="1" applyAlignment="1">
      <alignment vertical="center"/>
    </xf>
    <xf numFmtId="0" fontId="15" fillId="5" borderId="2" xfId="0" applyFont="1" applyFill="1" applyBorder="1" applyAlignment="1">
      <alignment vertical="center"/>
    </xf>
    <xf numFmtId="168" fontId="15" fillId="5" borderId="2" xfId="0" applyNumberFormat="1" applyFont="1" applyFill="1" applyBorder="1" applyAlignment="1">
      <alignment vertical="center"/>
    </xf>
    <xf numFmtId="168" fontId="16" fillId="4" borderId="2" xfId="0" applyNumberFormat="1" applyFont="1" applyFill="1" applyBorder="1" applyAlignment="1">
      <alignment vertical="center"/>
    </xf>
    <xf numFmtId="1" fontId="16" fillId="4" borderId="2" xfId="0" applyNumberFormat="1" applyFont="1" applyFill="1" applyBorder="1" applyAlignment="1">
      <alignment vertical="center"/>
    </xf>
    <xf numFmtId="0" fontId="18" fillId="4" borderId="4" xfId="0" applyFont="1" applyFill="1" applyBorder="1" applyAlignment="1">
      <alignment vertical="center"/>
    </xf>
    <xf numFmtId="168" fontId="19" fillId="4" borderId="4" xfId="0" applyNumberFormat="1" applyFont="1" applyFill="1" applyBorder="1" applyAlignment="1">
      <alignment vertical="center"/>
    </xf>
    <xf numFmtId="168" fontId="18" fillId="4" borderId="4" xfId="0" applyNumberFormat="1" applyFont="1" applyFill="1" applyBorder="1" applyAlignment="1">
      <alignment vertical="center"/>
    </xf>
    <xf numFmtId="168" fontId="20" fillId="4" borderId="4" xfId="0" applyNumberFormat="1" applyFont="1" applyFill="1" applyBorder="1" applyAlignment="1">
      <alignment vertical="center"/>
    </xf>
    <xf numFmtId="0" fontId="13" fillId="4" borderId="3" xfId="0" applyFont="1" applyFill="1" applyBorder="1" applyAlignment="1">
      <alignment vertical="center"/>
    </xf>
    <xf numFmtId="0" fontId="12" fillId="4" borderId="3" xfId="0" applyFont="1" applyFill="1" applyBorder="1" applyAlignment="1">
      <alignment vertical="center"/>
    </xf>
    <xf numFmtId="0" fontId="14" fillId="4" borderId="2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vertical="center"/>
    </xf>
    <xf numFmtId="0" fontId="17" fillId="4" borderId="2" xfId="0" applyFont="1" applyFill="1" applyBorder="1" applyAlignment="1">
      <alignment vertical="center" wrapText="1"/>
    </xf>
    <xf numFmtId="168" fontId="12" fillId="4" borderId="2" xfId="0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899160</xdr:colOff>
      <xdr:row>33</xdr:row>
      <xdr:rowOff>76200</xdr:rowOff>
    </xdr:to>
    <xdr:sp macro="" textlink="">
      <xdr:nvSpPr>
        <xdr:cNvPr id="1110" name="Text Box 86" hidden="1">
          <a:extLst>
            <a:ext uri="{FF2B5EF4-FFF2-40B4-BE49-F238E27FC236}">
              <a16:creationId xmlns:a16="http://schemas.microsoft.com/office/drawing/2014/main" id="{6A425A27-CA62-09CF-2DAB-CE66266CAC0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899160</xdr:colOff>
      <xdr:row>33</xdr:row>
      <xdr:rowOff>76200</xdr:rowOff>
    </xdr:to>
    <xdr:sp macro="" textlink="">
      <xdr:nvSpPr>
        <xdr:cNvPr id="2" name="AutoShape 86">
          <a:extLst>
            <a:ext uri="{FF2B5EF4-FFF2-40B4-BE49-F238E27FC236}">
              <a16:creationId xmlns:a16="http://schemas.microsoft.com/office/drawing/2014/main" id="{D8F0C44F-CC05-4465-696D-99D9F2C25D7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897636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487680</xdr:colOff>
      <xdr:row>33</xdr:row>
      <xdr:rowOff>167640</xdr:rowOff>
    </xdr:to>
    <xdr:sp macro="" textlink="">
      <xdr:nvSpPr>
        <xdr:cNvPr id="2147" name="Text Box 99" hidden="1">
          <a:extLst>
            <a:ext uri="{FF2B5EF4-FFF2-40B4-BE49-F238E27FC236}">
              <a16:creationId xmlns:a16="http://schemas.microsoft.com/office/drawing/2014/main" id="{2B82AA4F-6280-E958-0813-75A08EA5B11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487680</xdr:colOff>
      <xdr:row>33</xdr:row>
      <xdr:rowOff>167640</xdr:rowOff>
    </xdr:to>
    <xdr:sp macro="" textlink="">
      <xdr:nvSpPr>
        <xdr:cNvPr id="2" name="AutoShape 99">
          <a:extLst>
            <a:ext uri="{FF2B5EF4-FFF2-40B4-BE49-F238E27FC236}">
              <a16:creationId xmlns:a16="http://schemas.microsoft.com/office/drawing/2014/main" id="{7D0196C8-91BB-CE1F-DCB1-48D70A4F8C7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F0133-BA37-4A58-94BF-D5D50B665CC5}">
  <sheetPr>
    <pageSetUpPr fitToPage="1"/>
  </sheetPr>
  <dimension ref="C2:J52"/>
  <sheetViews>
    <sheetView showGridLines="0" tabSelected="1" workbookViewI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4.4" x14ac:dyDescent="0.3"/>
  <cols>
    <col min="1" max="2" width="2" customWidth="1"/>
    <col min="3" max="3" width="43" customWidth="1"/>
    <col min="4" max="10" width="15" customWidth="1"/>
  </cols>
  <sheetData>
    <row r="2" spans="3:10" ht="26" customHeight="1" x14ac:dyDescent="0.3">
      <c r="C2" s="42" t="s">
        <v>205</v>
      </c>
      <c r="D2" s="43"/>
      <c r="E2" s="43"/>
      <c r="F2" s="43"/>
      <c r="G2" s="43"/>
      <c r="H2" s="43"/>
      <c r="I2" s="43"/>
      <c r="J2" s="43"/>
    </row>
    <row r="3" spans="3:10" ht="24" customHeight="1" x14ac:dyDescent="0.3">
      <c r="C3" s="44" t="s">
        <v>206</v>
      </c>
      <c r="D3" s="45"/>
      <c r="E3" s="45"/>
      <c r="F3" s="45"/>
      <c r="G3" s="45"/>
      <c r="H3" s="45"/>
      <c r="I3" s="45"/>
      <c r="J3" s="45"/>
    </row>
    <row r="4" spans="3:10" ht="16" customHeight="1" x14ac:dyDescent="0.3">
      <c r="C4" s="32" t="inlineStr">
        <is>
          <t>Author: Eshan Mukherjee</t>
        </is>
      </c>
      <c r="D4" s="32"/>
      <c r="E4" s="32"/>
      <c r="F4" s="32"/>
      <c r="G4" s="32"/>
      <c r="H4" s="32"/>
      <c r="I4" s="32"/>
      <c r="J4" s="32"/>
    </row>
    <row r="5" spans="3:10" ht="8" customHeight="1" x14ac:dyDescent="0.3">
      <c r="C5" s="32"/>
      <c r="D5" s="32"/>
      <c r="E5" s="32"/>
      <c r="F5" s="32"/>
      <c r="G5" s="32"/>
      <c r="H5" s="32"/>
      <c r="I5" s="32"/>
      <c r="J5" s="32"/>
    </row>
    <row r="6" spans="3:10" ht="8" customHeight="1" x14ac:dyDescent="0.3">
      <c r="C6" s="32"/>
      <c r="D6" s="32"/>
      <c r="E6" s="32"/>
      <c r="F6" s="32"/>
      <c r="G6" s="32"/>
      <c r="H6" s="32"/>
      <c r="I6" s="32"/>
      <c r="J6" s="32"/>
    </row>
    <row r="7" spans="3:10" ht="8" customHeight="1" x14ac:dyDescent="0.3">
      <c r="C7" s="32"/>
      <c r="D7" s="32"/>
      <c r="E7" s="32"/>
      <c r="F7" s="32"/>
      <c r="G7" s="32"/>
      <c r="H7" s="32"/>
      <c r="I7" s="32"/>
      <c r="J7" s="32"/>
    </row>
    <row r="8" spans="3:10" ht="16" customHeight="1" x14ac:dyDescent="0.3">
      <c r="C8" s="34" t="s">
        <v>207</v>
      </c>
      <c r="D8" s="35"/>
      <c r="E8" s="35"/>
      <c r="F8" s="35"/>
      <c r="G8" s="35"/>
      <c r="H8" s="35"/>
      <c r="I8" s="35"/>
      <c r="J8" s="35"/>
    </row>
    <row r="9" spans="3:10" ht="14" customHeight="1" x14ac:dyDescent="0.3">
      <c r="C9" s="32" t="s">
        <v>89</v>
      </c>
      <c r="D9" s="36">
        <f>Sources_Uses!B9</f>
        <v>500</v>
      </c>
      <c r="E9" s="33"/>
      <c r="F9" s="33"/>
      <c r="G9" s="33"/>
      <c r="H9" s="33"/>
      <c r="I9" s="33"/>
      <c r="J9" s="33"/>
    </row>
    <row r="10" spans="3:10" ht="14" customHeight="1" x14ac:dyDescent="0.3">
      <c r="C10" s="32" t="s">
        <v>128</v>
      </c>
      <c r="D10" s="36">
        <f>Sources_Uses!B10</f>
        <v>6000</v>
      </c>
      <c r="E10" s="33"/>
      <c r="F10" s="33"/>
      <c r="G10" s="33"/>
      <c r="H10" s="33"/>
      <c r="I10" s="33"/>
      <c r="J10" s="33"/>
    </row>
    <row r="11" spans="3:10" ht="14" customHeight="1" x14ac:dyDescent="0.3">
      <c r="C11" s="32" t="s">
        <v>208</v>
      </c>
      <c r="D11" s="36">
        <f>Sources_Uses!B11</f>
        <v>6000</v>
      </c>
      <c r="E11" s="33"/>
      <c r="F11" s="33"/>
      <c r="G11" s="33"/>
      <c r="H11" s="33"/>
      <c r="I11" s="33"/>
      <c r="J11" s="33"/>
    </row>
    <row r="12" spans="3:10" ht="14" customHeight="1" x14ac:dyDescent="0.3">
      <c r="C12" s="32" t="s">
        <v>130</v>
      </c>
      <c r="D12" s="36">
        <f>Sources_Uses!B12</f>
        <v>6000</v>
      </c>
      <c r="E12" s="33"/>
      <c r="F12" s="33"/>
      <c r="G12" s="33"/>
      <c r="H12" s="33"/>
      <c r="I12" s="33"/>
      <c r="J12" s="33"/>
    </row>
    <row r="13" spans="3:10" ht="14" customHeight="1" x14ac:dyDescent="0.3">
      <c r="C13" s="32" t="s">
        <v>97</v>
      </c>
      <c r="D13" s="36">
        <f>Sources_Uses!B13</f>
        <v>1500</v>
      </c>
      <c r="E13" s="33"/>
      <c r="F13" s="33"/>
      <c r="G13" s="33"/>
      <c r="H13" s="33"/>
      <c r="I13" s="33"/>
      <c r="J13" s="33"/>
    </row>
    <row r="14" spans="3:10" ht="8" customHeight="1" x14ac:dyDescent="0.3">
      <c r="C14" s="32"/>
      <c r="D14" s="33"/>
      <c r="E14" s="33"/>
      <c r="F14" s="33"/>
      <c r="G14" s="33"/>
      <c r="H14" s="33"/>
      <c r="I14" s="33"/>
      <c r="J14" s="33"/>
    </row>
    <row r="15" spans="3:10" ht="14" customHeight="1" x14ac:dyDescent="0.3">
      <c r="C15" s="38" t="s">
        <v>125</v>
      </c>
      <c r="D15" s="39">
        <f>Sources_Uses!B4</f>
        <v>20000</v>
      </c>
      <c r="E15" s="40"/>
      <c r="F15" s="40"/>
      <c r="G15" s="40"/>
      <c r="H15" s="40"/>
      <c r="I15" s="40"/>
      <c r="J15" s="40"/>
    </row>
    <row r="16" spans="3:10" ht="8" customHeight="1" x14ac:dyDescent="0.3">
      <c r="C16" s="32"/>
      <c r="D16" s="33"/>
      <c r="E16" s="33"/>
      <c r="F16" s="33"/>
      <c r="G16" s="33"/>
      <c r="H16" s="33"/>
      <c r="I16" s="33"/>
      <c r="J16" s="33"/>
    </row>
    <row r="17" spans="3:10" ht="14" customHeight="1" x14ac:dyDescent="0.3">
      <c r="C17" s="38" t="s">
        <v>209</v>
      </c>
      <c r="D17" s="41">
        <f>SUM(D9:D13)-D15</f>
        <v>0</v>
      </c>
      <c r="E17" s="40"/>
      <c r="F17" s="40"/>
      <c r="G17" s="40"/>
      <c r="H17" s="40"/>
      <c r="I17" s="40"/>
      <c r="J17" s="40"/>
    </row>
    <row r="18" spans="3:10" ht="8" customHeight="1" x14ac:dyDescent="0.3">
      <c r="C18" s="32"/>
      <c r="D18" s="33"/>
      <c r="E18" s="33"/>
      <c r="F18" s="33"/>
      <c r="G18" s="33"/>
      <c r="H18" s="33"/>
      <c r="I18" s="33"/>
      <c r="J18" s="33"/>
    </row>
    <row r="19" spans="3:10" ht="8" customHeight="1" x14ac:dyDescent="0.3">
      <c r="C19" s="32"/>
      <c r="D19" s="33"/>
      <c r="E19" s="33"/>
      <c r="F19" s="33"/>
      <c r="G19" s="33"/>
      <c r="H19" s="33"/>
      <c r="I19" s="33"/>
      <c r="J19" s="33"/>
    </row>
    <row r="20" spans="3:10" ht="8" customHeight="1" x14ac:dyDescent="0.3">
      <c r="C20" s="32"/>
      <c r="D20" s="33"/>
      <c r="E20" s="33"/>
      <c r="F20" s="33"/>
      <c r="G20" s="33"/>
      <c r="H20" s="33"/>
      <c r="I20" s="33"/>
      <c r="J20" s="33"/>
    </row>
    <row r="21" spans="3:10" ht="16" customHeight="1" x14ac:dyDescent="0.3">
      <c r="C21" s="34" t="s">
        <v>210</v>
      </c>
      <c r="D21" s="35"/>
      <c r="E21" s="35"/>
      <c r="F21" s="35"/>
      <c r="G21" s="35"/>
      <c r="H21" s="35"/>
      <c r="I21" s="35"/>
      <c r="J21" s="35"/>
    </row>
    <row r="22" spans="3:10" ht="14" customHeight="1" x14ac:dyDescent="0.3">
      <c r="C22" s="32"/>
      <c r="D22" s="37">
        <f>Balance_Sheet!C3</f>
        <v>1985</v>
      </c>
      <c r="E22" s="37">
        <f>Balance_Sheet!D3</f>
        <v>1986</v>
      </c>
      <c r="F22" s="37">
        <f>Balance_Sheet!E3</f>
        <v>1987</v>
      </c>
      <c r="G22" s="37">
        <f>Balance_Sheet!F3</f>
        <v>1988</v>
      </c>
      <c r="H22" s="37">
        <f>Balance_Sheet!G3</f>
        <v>1989</v>
      </c>
      <c r="I22" s="37">
        <f>Balance_Sheet!H3</f>
        <v>1990</v>
      </c>
      <c r="J22" s="33"/>
    </row>
    <row r="23" spans="3:10" ht="8" customHeight="1" x14ac:dyDescent="0.3">
      <c r="C23" s="32"/>
      <c r="D23" s="33"/>
      <c r="E23" s="33"/>
      <c r="F23" s="33"/>
      <c r="G23" s="33"/>
      <c r="H23" s="33"/>
      <c r="I23" s="33"/>
      <c r="J23" s="33"/>
    </row>
    <row r="24" spans="3:10" ht="14" customHeight="1" x14ac:dyDescent="0.3">
      <c r="C24" s="32" t="s">
        <v>109</v>
      </c>
      <c r="D24" s="36">
        <f>Income_Statement!C4</f>
        <v>16024</v>
      </c>
      <c r="E24" s="36">
        <f>Income_Statement!D4</f>
        <v>16844</v>
      </c>
      <c r="F24" s="36">
        <f>Income_Statement!E4</f>
        <v>17686</v>
      </c>
      <c r="G24" s="36">
        <f>Income_Statement!F4</f>
        <v>18570</v>
      </c>
      <c r="H24" s="36">
        <f>Income_Statement!G4</f>
        <v>19498</v>
      </c>
      <c r="I24" s="36">
        <f>Income_Statement!H4</f>
        <v>20472</v>
      </c>
      <c r="J24" s="33"/>
    </row>
    <row r="25" spans="3:10" ht="14" customHeight="1" x14ac:dyDescent="0.3">
      <c r="C25" s="32" t="s">
        <v>153</v>
      </c>
      <c r="D25" s="36">
        <f>Income_Statement!C7</f>
        <v>3633</v>
      </c>
      <c r="E25" s="36">
        <f>Income_Statement!D7</f>
        <v>3840</v>
      </c>
      <c r="F25" s="36">
        <f>Income_Statement!E7</f>
        <v>3957</v>
      </c>
      <c r="G25" s="36">
        <f>Income_Statement!F7</f>
        <v>3808</v>
      </c>
      <c r="H25" s="36">
        <f>Income_Statement!G7</f>
        <v>3988</v>
      </c>
      <c r="I25" s="36">
        <f>Income_Statement!H7</f>
        <v>4176</v>
      </c>
      <c r="J25" s="33"/>
    </row>
    <row r="26" spans="3:10" ht="14" customHeight="1" x14ac:dyDescent="0.3">
      <c r="C26" s="32" t="s">
        <v>157</v>
      </c>
      <c r="D26" s="36">
        <f>Income_Statement!C12</f>
        <v>1652.8282138794084</v>
      </c>
      <c r="E26" s="36">
        <f>Income_Statement!D12</f>
        <v>1903.3663177925785</v>
      </c>
      <c r="F26" s="36">
        <f>Income_Statement!E12</f>
        <v>2111.1490787269681</v>
      </c>
      <c r="G26" s="36">
        <f>Income_Statement!F12</f>
        <v>2302.8148148148148</v>
      </c>
      <c r="H26" s="36">
        <f>Income_Statement!G12</f>
        <v>2483.8232931726907</v>
      </c>
      <c r="I26" s="36">
        <f>Income_Statement!H12</f>
        <v>2617.037783375315</v>
      </c>
      <c r="J26" s="33"/>
    </row>
    <row r="27" spans="3:10" ht="8" customHeight="1" x14ac:dyDescent="0.3">
      <c r="C27" s="32"/>
      <c r="D27" s="33"/>
      <c r="E27" s="33"/>
      <c r="F27" s="33"/>
      <c r="G27" s="33"/>
      <c r="H27" s="33"/>
      <c r="I27" s="33"/>
      <c r="J27" s="33"/>
    </row>
    <row r="28" spans="3:10" ht="14" customHeight="1" x14ac:dyDescent="0.3">
      <c r="C28" s="38" t="s">
        <v>211</v>
      </c>
      <c r="D28" s="39">
        <f>Debt_Schedule!C22</f>
        <v>16552</v>
      </c>
      <c r="E28" s="39">
        <f>Debt_Schedule!D22</f>
        <v>14850</v>
      </c>
      <c r="F28" s="39">
        <f>Debt_Schedule!E22</f>
        <v>12930</v>
      </c>
      <c r="G28" s="39">
        <f>Debt_Schedule!F22</f>
        <v>10766.666666666666</v>
      </c>
      <c r="H28" s="39">
        <f>Debt_Schedule!G22</f>
        <v>8800</v>
      </c>
      <c r="I28" s="39">
        <f>Debt_Schedule!H22</f>
        <v>6798</v>
      </c>
      <c r="J28" s="40"/>
    </row>
    <row r="29" spans="3:10" ht="14" customHeight="1" x14ac:dyDescent="0.3">
      <c r="C29" s="38" t="s">
        <v>166</v>
      </c>
      <c r="D29" s="39">
        <f>Cash_Flow!C17</f>
        <v>4430.8282138794084</v>
      </c>
      <c r="E29" s="39">
        <f>Cash_Flow!D17</f>
        <v>4596.1945316719866</v>
      </c>
      <c r="F29" s="39">
        <f>Cash_Flow!E17</f>
        <v>4759.3436103989552</v>
      </c>
      <c r="G29" s="39">
        <f>Cash_Flow!F17</f>
        <v>4918.15842521377</v>
      </c>
      <c r="H29" s="39">
        <f>Cash_Flow!G17</f>
        <v>5089.9817183864607</v>
      </c>
      <c r="I29" s="39">
        <f>Cash_Flow!H17</f>
        <v>5245.0195017617752</v>
      </c>
      <c r="J29" s="40"/>
    </row>
    <row r="30" spans="3:10" ht="14" customHeight="1" x14ac:dyDescent="0.3">
      <c r="C30" s="32" t="s">
        <v>39</v>
      </c>
      <c r="D30" s="36">
        <f>Balance_Sheet!C9</f>
        <v>18704.828213879409</v>
      </c>
      <c r="E30" s="36">
        <f>Balance_Sheet!D9</f>
        <v>18906.194531671987</v>
      </c>
      <c r="F30" s="36">
        <f>Balance_Sheet!E9</f>
        <v>19097.343610398955</v>
      </c>
      <c r="G30" s="36">
        <f>Balance_Sheet!F9</f>
        <v>19286.158425213769</v>
      </c>
      <c r="H30" s="36">
        <f>Balance_Sheet!G9</f>
        <v>19803.981718386462</v>
      </c>
      <c r="I30" s="36">
        <f>Balance_Sheet!H9</f>
        <v>20419.019501761773</v>
      </c>
      <c r="J30" s="33"/>
    </row>
    <row r="31" spans="3:10" ht="14" customHeight="1" x14ac:dyDescent="0.3">
      <c r="C31" s="32" t="s">
        <v>212</v>
      </c>
      <c r="D31" s="36">
        <f>Balance_Sheet!C17</f>
        <v>18704.828213879409</v>
      </c>
      <c r="E31" s="36">
        <f>Balance_Sheet!D17</f>
        <v>18906.194531671987</v>
      </c>
      <c r="F31" s="36">
        <f>Balance_Sheet!E17</f>
        <v>19097.343610398955</v>
      </c>
      <c r="G31" s="36">
        <f>Balance_Sheet!F17</f>
        <v>19286.158425213769</v>
      </c>
      <c r="H31" s="36">
        <f>Balance_Sheet!G17</f>
        <v>19803.981718386462</v>
      </c>
      <c r="I31" s="36">
        <f>Balance_Sheet!H17</f>
        <v>20419.019501761773</v>
      </c>
      <c r="J31" s="33"/>
    </row>
    <row r="32" spans="3:10" ht="14" customHeight="1" x14ac:dyDescent="0.3">
      <c r="C32" s="38" t="s">
        <v>213</v>
      </c>
      <c r="D32" s="41">
        <f t="shared" ref="D32:I32" si="0">D30-D31</f>
        <v>0</v>
      </c>
      <c r="E32" s="41">
        <f t="shared" si="0"/>
        <v>0</v>
      </c>
      <c r="F32" s="41">
        <f t="shared" si="0"/>
        <v>0</v>
      </c>
      <c r="G32" s="41">
        <f t="shared" si="0"/>
        <v>0</v>
      </c>
      <c r="H32" s="41">
        <f t="shared" si="0"/>
        <v>0</v>
      </c>
      <c r="I32" s="41">
        <f t="shared" si="0"/>
        <v>0</v>
      </c>
      <c r="J32" s="40"/>
    </row>
    <row r="33" spans="3:10" ht="8" customHeight="1" x14ac:dyDescent="0.3">
      <c r="C33" s="32"/>
      <c r="D33" s="33"/>
      <c r="E33" s="33"/>
      <c r="F33" s="33"/>
      <c r="G33" s="33"/>
      <c r="H33" s="33"/>
      <c r="I33" s="33"/>
      <c r="J33" s="33"/>
    </row>
    <row r="34" spans="3:10" ht="8" customHeight="1" x14ac:dyDescent="0.3">
      <c r="C34" s="32"/>
      <c r="D34" s="33"/>
      <c r="E34" s="33"/>
      <c r="F34" s="33"/>
      <c r="G34" s="33"/>
      <c r="H34" s="33"/>
      <c r="I34" s="33"/>
      <c r="J34" s="33"/>
    </row>
    <row r="35" spans="3:10" ht="8" customHeight="1" x14ac:dyDescent="0.3">
      <c r="C35" s="32"/>
      <c r="D35" s="33"/>
      <c r="E35" s="33"/>
      <c r="F35" s="33"/>
      <c r="G35" s="33"/>
      <c r="H35" s="33"/>
      <c r="I35" s="33"/>
      <c r="J35" s="33"/>
    </row>
    <row r="36" spans="3:10" ht="8" customHeight="1" x14ac:dyDescent="0.3">
      <c r="C36" s="32"/>
      <c r="D36" s="33"/>
      <c r="E36" s="33"/>
      <c r="F36" s="33"/>
      <c r="G36" s="33"/>
      <c r="H36" s="33"/>
      <c r="I36" s="33"/>
      <c r="J36" s="33"/>
    </row>
    <row r="37" spans="3:10" ht="24" customHeight="1" x14ac:dyDescent="0.3">
      <c r="C37" s="46" t="s">
        <v>214</v>
      </c>
      <c r="D37" s="47"/>
      <c r="E37" s="47"/>
      <c r="F37" s="47"/>
      <c r="G37" s="47"/>
      <c r="H37" s="47"/>
      <c r="I37" s="47"/>
      <c r="J37" s="47"/>
    </row>
    <row r="38" spans="3:10" ht="8" customHeight="1" x14ac:dyDescent="0.3">
      <c r="C38" s="32"/>
      <c r="D38" s="33"/>
      <c r="E38" s="33"/>
      <c r="F38" s="33"/>
      <c r="G38" s="33"/>
      <c r="H38" s="33"/>
      <c r="I38" s="33"/>
      <c r="J38" s="33"/>
    </row>
    <row r="39" spans="3:10" ht="8" customHeight="1" x14ac:dyDescent="0.3">
      <c r="C39" s="32"/>
      <c r="D39" s="33"/>
      <c r="E39" s="33"/>
      <c r="F39" s="33"/>
      <c r="G39" s="33"/>
      <c r="H39" s="33"/>
      <c r="I39" s="33"/>
      <c r="J39" s="33"/>
    </row>
    <row r="40" spans="3:10" ht="8" customHeight="1" x14ac:dyDescent="0.3">
      <c r="C40" s="32"/>
      <c r="D40" s="33"/>
      <c r="E40" s="33"/>
      <c r="F40" s="33"/>
      <c r="G40" s="33"/>
      <c r="H40" s="33"/>
      <c r="I40" s="33"/>
      <c r="J40" s="33"/>
    </row>
    <row r="41" spans="3:10" ht="8" customHeight="1" x14ac:dyDescent="0.3">
      <c r="C41" s="32"/>
      <c r="D41" s="33"/>
      <c r="E41" s="33"/>
      <c r="F41" s="33"/>
      <c r="G41" s="33"/>
      <c r="H41" s="33"/>
      <c r="I41" s="33"/>
      <c r="J41" s="33"/>
    </row>
    <row r="42" spans="3:10" ht="8" customHeight="1" x14ac:dyDescent="0.3">
      <c r="C42" s="32"/>
      <c r="D42" s="33"/>
      <c r="E42" s="33"/>
      <c r="F42" s="33"/>
      <c r="G42" s="33"/>
      <c r="H42" s="33"/>
      <c r="I42" s="33"/>
      <c r="J42" s="33"/>
    </row>
    <row r="43" spans="3:10" ht="8" customHeight="1" x14ac:dyDescent="0.3">
      <c r="C43" s="32"/>
      <c r="D43" s="33"/>
      <c r="E43" s="33"/>
      <c r="F43" s="33"/>
      <c r="G43" s="33"/>
      <c r="H43" s="33"/>
      <c r="I43" s="33"/>
      <c r="J43" s="33"/>
    </row>
    <row r="44" spans="3:10" ht="8" customHeight="1" x14ac:dyDescent="0.3">
      <c r="C44" s="32"/>
      <c r="D44" s="33"/>
      <c r="E44" s="33"/>
      <c r="F44" s="33"/>
      <c r="G44" s="33"/>
      <c r="H44" s="33"/>
      <c r="I44" s="33"/>
      <c r="J44" s="33"/>
    </row>
    <row r="45" spans="3:10" ht="8" customHeight="1" x14ac:dyDescent="0.3">
      <c r="C45" s="32"/>
      <c r="D45" s="33"/>
      <c r="E45" s="33"/>
      <c r="F45" s="33"/>
      <c r="G45" s="33"/>
      <c r="H45" s="33"/>
      <c r="I45" s="33"/>
      <c r="J45" s="33"/>
    </row>
    <row r="46" spans="3:10" ht="8" customHeight="1" x14ac:dyDescent="0.3">
      <c r="C46" s="32"/>
      <c r="D46" s="33"/>
      <c r="E46" s="33"/>
      <c r="F46" s="33"/>
      <c r="G46" s="33"/>
      <c r="H46" s="33"/>
      <c r="I46" s="33"/>
      <c r="J46" s="33"/>
    </row>
    <row r="47" spans="3:10" ht="8" customHeight="1" x14ac:dyDescent="0.3">
      <c r="C47" s="32"/>
      <c r="D47" s="33"/>
      <c r="E47" s="33"/>
      <c r="F47" s="33"/>
      <c r="G47" s="33"/>
      <c r="H47" s="33"/>
      <c r="I47" s="33"/>
      <c r="J47" s="33"/>
    </row>
    <row r="48" spans="3:10" ht="8" customHeight="1" x14ac:dyDescent="0.3">
      <c r="C48" s="32"/>
      <c r="D48" s="33"/>
      <c r="E48" s="33"/>
      <c r="F48" s="33"/>
      <c r="G48" s="33"/>
      <c r="H48" s="33"/>
      <c r="I48" s="33"/>
      <c r="J48" s="33"/>
    </row>
    <row r="49" spans="3:10" ht="8" customHeight="1" x14ac:dyDescent="0.3">
      <c r="C49" s="32"/>
      <c r="D49" s="33"/>
      <c r="E49" s="33"/>
      <c r="F49" s="33"/>
      <c r="G49" s="33"/>
      <c r="H49" s="33"/>
      <c r="I49" s="33"/>
      <c r="J49" s="33"/>
    </row>
    <row r="50" spans="3:10" ht="8" customHeight="1" x14ac:dyDescent="0.3">
      <c r="C50" s="32"/>
      <c r="D50" s="33"/>
      <c r="E50" s="33"/>
      <c r="F50" s="33"/>
      <c r="G50" s="33"/>
      <c r="H50" s="33"/>
      <c r="I50" s="33"/>
      <c r="J50" s="33"/>
    </row>
    <row r="51" spans="3:10" ht="8" customHeight="1" x14ac:dyDescent="0.3">
      <c r="C51" s="32"/>
      <c r="D51" s="33"/>
      <c r="E51" s="33"/>
      <c r="F51" s="33"/>
      <c r="G51" s="33"/>
      <c r="H51" s="33"/>
      <c r="I51" s="33"/>
      <c r="J51" s="33"/>
    </row>
    <row r="52" spans="3:10" ht="8" customHeight="1" x14ac:dyDescent="0.3">
      <c r="C52" s="32"/>
      <c r="D52" s="33"/>
      <c r="E52" s="33"/>
      <c r="F52" s="33"/>
      <c r="G52" s="33"/>
      <c r="H52" s="33"/>
      <c r="I52" s="33"/>
      <c r="J52" s="33"/>
    </row>
  </sheetData>
  <mergeCells count="4">
    <mergeCell ref="C2:J2"/>
    <mergeCell ref="C3:J3"/>
    <mergeCell ref="C37:J37"/>
    <mergeCell ref="C4:J4"/>
  </mergeCells>
  <pageMargins left="0.3888888888888889" right="0.3888888888888889" top="0.3888888888888889" bottom="0.3888888888888889" header="0.3" footer="0.3"/>
  <pageSetup paperSize="9" scale="94" fitToHeight="1" orientation="landscape" r:id="rId1" fitToWidth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DDE0F-D607-4D61-A4BF-6C2ED59E61E9}">
  <dimension ref="A1:H19"/>
  <sheetViews>
    <sheetView showGridLines="0" workbookViewId="0" tabSelected="0">
      <selection activeCell="D6" sqref="D6"/>
    </sheetView>
  </sheetViews>
  <sheetFormatPr defaultRowHeight="14.4" x14ac:dyDescent="0.3"/>
  <cols>
    <col min="1" max="1" width="95" customWidth="1"/>
    <col min="5" max="5" width="24" customWidth="1"/>
  </cols>
  <sheetData>
    <row r="1" spans="1:8" ht="18" customHeight="1" x14ac:dyDescent="0.3">
      <c r="A1" s="48" t="s">
        <v>0</v>
      </c>
      <c r="B1" s="49"/>
      <c r="C1" s="49"/>
      <c r="D1" s="49"/>
      <c r="E1" s="49"/>
      <c r="F1" s="49"/>
      <c r="G1" s="49"/>
      <c r="H1" s="49"/>
    </row>
    <row r="2" spans="1:8" ht="18" customHeight="1" x14ac:dyDescent="0.3"/>
    <row r="3" spans="1:8" ht="18" customHeight="1" x14ac:dyDescent="0.3">
      <c r="A3" s="1"/>
    </row>
    <row r="4" spans="1:8" ht="31.95" customHeight="1" x14ac:dyDescent="0.3">
      <c r="A4" s="30"/>
    </row>
    <row r="5" spans="1:8" ht="18" customHeight="1" x14ac:dyDescent="0.3"/>
    <row r="6" spans="1:8" ht="18" customHeight="1" x14ac:dyDescent="0.3">
      <c r="A6" s="1" t="s">
        <v>1</v>
      </c>
      <c r="E6" s="1" t="s">
        <v>2</v>
      </c>
    </row>
    <row r="7" spans="1:8" ht="36" customHeight="1" x14ac:dyDescent="0.3">
      <c r="A7" s="30" t="s">
        <v>3</v>
      </c>
      <c r="E7" s="2" t="s">
        <v>4</v>
      </c>
    </row>
    <row r="8" spans="1:8" ht="36" customHeight="1" x14ac:dyDescent="0.3">
      <c r="A8" s="30" t="s">
        <v>5</v>
      </c>
      <c r="E8" s="2" t="s">
        <v>6</v>
      </c>
    </row>
    <row r="9" spans="1:8" ht="36" customHeight="1" x14ac:dyDescent="0.3">
      <c r="A9" s="30" t="s">
        <v>7</v>
      </c>
      <c r="E9" s="2" t="s">
        <v>8</v>
      </c>
    </row>
    <row r="10" spans="1:8" ht="36" customHeight="1" x14ac:dyDescent="0.3">
      <c r="A10" s="30" t="s">
        <v>9</v>
      </c>
      <c r="E10" s="2" t="s">
        <v>10</v>
      </c>
    </row>
    <row r="11" spans="1:8" ht="31.95" customHeight="1" x14ac:dyDescent="0.3">
      <c r="A11" s="30" t="s">
        <v>11</v>
      </c>
      <c r="E11" s="2" t="s">
        <v>12</v>
      </c>
    </row>
    <row r="12" spans="1:8" ht="18" customHeight="1" x14ac:dyDescent="0.3">
      <c r="E12" s="2" t="s">
        <v>13</v>
      </c>
    </row>
    <row r="13" spans="1:8" ht="18" customHeight="1" x14ac:dyDescent="0.3">
      <c r="E13" s="2" t="s">
        <v>14</v>
      </c>
    </row>
    <row r="14" spans="1:8" ht="18" customHeight="1" x14ac:dyDescent="0.3">
      <c r="E14" s="2" t="s">
        <v>15</v>
      </c>
    </row>
    <row r="15" spans="1:8" ht="18" customHeight="1" x14ac:dyDescent="0.3"/>
    <row r="16" spans="1:8" ht="18" customHeight="1" x14ac:dyDescent="0.3"/>
    <row r="17" ht="18" customHeight="1" x14ac:dyDescent="0.3"/>
    <row r="18" ht="18" customHeight="1" x14ac:dyDescent="0.3"/>
    <row r="19" ht="18" customHeight="1" x14ac:dyDescent="0.3"/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1B6D9-C2E8-4D05-8517-021E3C229D5B}">
  <dimension ref="A1:M67"/>
  <sheetViews>
    <sheetView showGridLines="0" tabSelected="0" topLeftCell="A10" workbookViewId="0">
      <selection activeCell="D8" sqref="D8"/>
    </sheetView>
  </sheetViews>
  <sheetFormatPr defaultRowHeight="14.4" x14ac:dyDescent="0.3"/>
  <cols>
    <col min="1" max="1" width="42" customWidth="1"/>
    <col min="2" max="10" width="14" customWidth="1"/>
  </cols>
  <sheetData>
    <row r="1" spans="1:10" ht="18" customHeight="1" x14ac:dyDescent="0.3">
      <c r="A1" s="48" t="s">
        <v>16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18" customHeight="1" x14ac:dyDescent="0.3">
      <c r="A2" s="3" t="s">
        <v>17</v>
      </c>
    </row>
    <row r="3" spans="1:10" ht="18" customHeight="1" x14ac:dyDescent="0.3"/>
    <row r="4" spans="1:10" ht="18" customHeight="1" x14ac:dyDescent="0.3">
      <c r="A4" s="1" t="s">
        <v>18</v>
      </c>
    </row>
    <row r="5" spans="1:10" ht="27.6" x14ac:dyDescent="0.3">
      <c r="A5" s="4" t="s">
        <v>19</v>
      </c>
      <c r="B5" s="4" t="s">
        <v>20</v>
      </c>
      <c r="C5" s="4" t="s">
        <v>20</v>
      </c>
      <c r="D5" s="4" t="s">
        <v>20</v>
      </c>
    </row>
    <row r="6" spans="1:10" ht="18" customHeight="1" x14ac:dyDescent="0.3">
      <c r="A6" s="4" t="s">
        <v>20</v>
      </c>
      <c r="B6" s="4" t="s">
        <v>20</v>
      </c>
      <c r="C6" s="4" t="s">
        <v>20</v>
      </c>
      <c r="D6" s="4" t="s">
        <v>20</v>
      </c>
    </row>
    <row r="7" spans="1:10" ht="41.4" x14ac:dyDescent="0.3">
      <c r="A7" s="4" t="s">
        <v>21</v>
      </c>
      <c r="B7" s="4" t="s">
        <v>20</v>
      </c>
      <c r="C7" s="4" t="s">
        <v>22</v>
      </c>
      <c r="D7" s="4" t="s">
        <v>20</v>
      </c>
    </row>
    <row r="8" spans="1:10" ht="18" customHeight="1" x14ac:dyDescent="0.3">
      <c r="A8" s="4" t="s">
        <v>20</v>
      </c>
      <c r="B8" s="4" t="s">
        <v>20</v>
      </c>
      <c r="C8" s="4" t="s">
        <v>20</v>
      </c>
      <c r="D8" s="4" t="s">
        <v>20</v>
      </c>
    </row>
    <row r="9" spans="1:10" ht="27.6" x14ac:dyDescent="0.3">
      <c r="A9" s="4" t="s">
        <v>23</v>
      </c>
      <c r="B9" s="4" t="s">
        <v>20</v>
      </c>
      <c r="C9" s="4" t="s">
        <v>24</v>
      </c>
      <c r="D9" s="4" t="s">
        <v>20</v>
      </c>
    </row>
    <row r="10" spans="1:10" ht="27.6" x14ac:dyDescent="0.3">
      <c r="A10" s="4" t="s">
        <v>25</v>
      </c>
      <c r="B10" s="5">
        <v>5762</v>
      </c>
      <c r="C10" s="4" t="s">
        <v>26</v>
      </c>
      <c r="D10" s="5">
        <v>654</v>
      </c>
    </row>
    <row r="11" spans="1:10" ht="27.6" x14ac:dyDescent="0.3">
      <c r="A11" s="4" t="s">
        <v>27</v>
      </c>
      <c r="B11" s="5">
        <v>2540</v>
      </c>
      <c r="C11" s="4" t="s">
        <v>28</v>
      </c>
      <c r="D11" s="5">
        <v>366</v>
      </c>
    </row>
    <row r="12" spans="1:10" ht="27.6" x14ac:dyDescent="0.3">
      <c r="A12" s="4" t="s">
        <v>29</v>
      </c>
      <c r="B12" s="5">
        <v>588</v>
      </c>
      <c r="C12" s="4" t="s">
        <v>30</v>
      </c>
      <c r="D12" s="5">
        <v>246</v>
      </c>
    </row>
    <row r="13" spans="1:10" ht="27.6" x14ac:dyDescent="0.3">
      <c r="A13" s="4" t="s">
        <v>31</v>
      </c>
      <c r="B13" s="5">
        <v>108</v>
      </c>
      <c r="C13" s="4" t="s">
        <v>32</v>
      </c>
      <c r="D13" s="5">
        <v>1266</v>
      </c>
    </row>
    <row r="14" spans="1:10" ht="41.4" x14ac:dyDescent="0.3">
      <c r="A14" s="4" t="s">
        <v>33</v>
      </c>
      <c r="B14" s="5">
        <v>8998</v>
      </c>
      <c r="C14" s="4" t="s">
        <v>34</v>
      </c>
      <c r="D14" s="5">
        <v>200</v>
      </c>
    </row>
    <row r="15" spans="1:10" x14ac:dyDescent="0.3">
      <c r="A15" s="4" t="s">
        <v>35</v>
      </c>
      <c r="B15" s="5">
        <v>2110</v>
      </c>
      <c r="C15" s="4" t="s">
        <v>36</v>
      </c>
      <c r="D15" s="5">
        <v>9716</v>
      </c>
    </row>
    <row r="16" spans="1:10" ht="27.6" x14ac:dyDescent="0.3">
      <c r="A16" s="4" t="s">
        <v>37</v>
      </c>
      <c r="B16" s="5">
        <v>74</v>
      </c>
      <c r="C16" s="4" t="s">
        <v>38</v>
      </c>
      <c r="D16" s="5">
        <v>9916</v>
      </c>
    </row>
    <row r="17" spans="1:13" ht="18" customHeight="1" x14ac:dyDescent="0.3">
      <c r="A17" s="4" t="s">
        <v>20</v>
      </c>
      <c r="B17" s="4" t="s">
        <v>20</v>
      </c>
      <c r="C17" s="4" t="s">
        <v>20</v>
      </c>
      <c r="D17" s="4" t="s">
        <v>20</v>
      </c>
    </row>
    <row r="18" spans="1:13" ht="18" customHeight="1" x14ac:dyDescent="0.3">
      <c r="A18" s="4" t="s">
        <v>39</v>
      </c>
      <c r="B18" s="5">
        <v>11182</v>
      </c>
      <c r="C18" s="4" t="s">
        <v>40</v>
      </c>
      <c r="D18" s="5">
        <v>11182</v>
      </c>
    </row>
    <row r="19" spans="1:13" ht="18" customHeight="1" x14ac:dyDescent="0.3"/>
    <row r="20" spans="1:13" x14ac:dyDescent="0.3">
      <c r="A20" s="1" t="s">
        <v>41</v>
      </c>
    </row>
    <row r="21" spans="1:13" ht="18" customHeight="1" x14ac:dyDescent="0.3">
      <c r="A21" s="4" t="s">
        <v>42</v>
      </c>
      <c r="B21" s="4" t="s">
        <v>20</v>
      </c>
      <c r="C21" s="4" t="s">
        <v>20</v>
      </c>
      <c r="D21" s="4" t="s">
        <v>20</v>
      </c>
      <c r="E21" s="4" t="s">
        <v>20</v>
      </c>
      <c r="F21" s="4" t="s">
        <v>20</v>
      </c>
      <c r="G21" s="4" t="s">
        <v>20</v>
      </c>
      <c r="H21" s="4" t="s">
        <v>20</v>
      </c>
      <c r="I21" s="4" t="s">
        <v>20</v>
      </c>
      <c r="J21" s="4" t="s">
        <v>20</v>
      </c>
      <c r="K21" s="4" t="s">
        <v>20</v>
      </c>
      <c r="L21" s="4" t="s">
        <v>20</v>
      </c>
      <c r="M21" s="4" t="s">
        <v>20</v>
      </c>
    </row>
    <row r="22" spans="1:13" ht="18" customHeight="1" x14ac:dyDescent="0.3">
      <c r="A22" s="4" t="s">
        <v>20</v>
      </c>
      <c r="B22" s="4" t="s">
        <v>20</v>
      </c>
      <c r="C22" s="4" t="s">
        <v>20</v>
      </c>
      <c r="D22" s="4" t="s">
        <v>20</v>
      </c>
      <c r="E22" s="4" t="s">
        <v>20</v>
      </c>
      <c r="F22" s="4" t="s">
        <v>20</v>
      </c>
      <c r="G22" s="4" t="s">
        <v>20</v>
      </c>
      <c r="H22" s="4" t="s">
        <v>20</v>
      </c>
      <c r="I22" s="4" t="s">
        <v>20</v>
      </c>
      <c r="J22" s="4" t="s">
        <v>20</v>
      </c>
      <c r="K22" s="4" t="s">
        <v>20</v>
      </c>
      <c r="L22" s="4" t="s">
        <v>20</v>
      </c>
      <c r="M22" s="4" t="s">
        <v>20</v>
      </c>
    </row>
    <row r="23" spans="1:13" ht="18" customHeight="1" x14ac:dyDescent="0.3">
      <c r="A23" s="4" t="s">
        <v>20</v>
      </c>
      <c r="B23" s="4" t="s">
        <v>43</v>
      </c>
      <c r="C23" s="4" t="s">
        <v>44</v>
      </c>
      <c r="D23" s="4" t="s">
        <v>45</v>
      </c>
      <c r="E23" s="4" t="s">
        <v>46</v>
      </c>
      <c r="F23" s="4" t="s">
        <v>47</v>
      </c>
      <c r="G23" s="4" t="s">
        <v>48</v>
      </c>
      <c r="H23" s="4" t="s">
        <v>49</v>
      </c>
      <c r="I23" s="4" t="s">
        <v>50</v>
      </c>
      <c r="J23" s="4" t="s">
        <v>51</v>
      </c>
      <c r="K23" s="4" t="s">
        <v>52</v>
      </c>
      <c r="L23" s="4" t="s">
        <v>53</v>
      </c>
      <c r="M23" s="4" t="s">
        <v>54</v>
      </c>
    </row>
    <row r="24" spans="1:13" ht="18" customHeight="1" x14ac:dyDescent="0.3">
      <c r="A24" s="4" t="s">
        <v>55</v>
      </c>
      <c r="B24" s="5">
        <v>5536</v>
      </c>
      <c r="C24" s="5">
        <v>5714</v>
      </c>
      <c r="D24" s="5">
        <v>5396</v>
      </c>
      <c r="E24" s="5">
        <v>4784</v>
      </c>
      <c r="F24" s="5">
        <v>4328</v>
      </c>
      <c r="G24" s="5">
        <v>4098</v>
      </c>
      <c r="H24" s="5">
        <v>2354</v>
      </c>
      <c r="I24" s="5">
        <v>766</v>
      </c>
      <c r="J24" s="5">
        <v>2050</v>
      </c>
      <c r="K24" s="5">
        <v>3830</v>
      </c>
      <c r="L24" s="5">
        <v>5734</v>
      </c>
      <c r="M24" s="5">
        <v>5762</v>
      </c>
    </row>
    <row r="25" spans="1:13" ht="18" customHeight="1" x14ac:dyDescent="0.3">
      <c r="A25" s="4" t="s">
        <v>27</v>
      </c>
      <c r="B25" s="5">
        <v>1480</v>
      </c>
      <c r="C25" s="5">
        <v>760</v>
      </c>
      <c r="D25" s="5">
        <v>734</v>
      </c>
      <c r="E25" s="5">
        <v>804</v>
      </c>
      <c r="F25" s="5">
        <v>718</v>
      </c>
      <c r="G25" s="5">
        <v>604</v>
      </c>
      <c r="H25" s="5">
        <v>3432</v>
      </c>
      <c r="I25" s="5">
        <v>6104</v>
      </c>
      <c r="J25" s="5">
        <v>6164</v>
      </c>
      <c r="K25" s="5">
        <v>4322</v>
      </c>
      <c r="L25" s="5">
        <v>2398</v>
      </c>
      <c r="M25" s="5">
        <v>2540</v>
      </c>
    </row>
    <row r="26" spans="1:13" ht="18" customHeight="1" x14ac:dyDescent="0.3">
      <c r="A26" s="4" t="s">
        <v>56</v>
      </c>
      <c r="B26" s="5">
        <v>1124</v>
      </c>
      <c r="C26" s="5">
        <v>1666</v>
      </c>
      <c r="D26" s="5">
        <v>2210</v>
      </c>
      <c r="E26" s="5">
        <v>2752</v>
      </c>
      <c r="F26" s="5">
        <v>3294</v>
      </c>
      <c r="G26" s="5">
        <v>3838</v>
      </c>
      <c r="H26" s="5">
        <v>2754</v>
      </c>
      <c r="I26" s="5">
        <v>1670</v>
      </c>
      <c r="J26" s="5">
        <v>526</v>
      </c>
      <c r="K26" s="5">
        <v>588</v>
      </c>
      <c r="L26" s="5">
        <v>608</v>
      </c>
      <c r="M26" s="5">
        <v>588</v>
      </c>
    </row>
    <row r="27" spans="1:13" ht="18" customHeight="1" x14ac:dyDescent="0.3">
      <c r="A27" s="4" t="s">
        <v>57</v>
      </c>
      <c r="B27" s="5">
        <v>-1186</v>
      </c>
      <c r="C27" s="5">
        <v>-1220</v>
      </c>
      <c r="D27" s="5">
        <v>-1242</v>
      </c>
      <c r="E27" s="5">
        <v>-1146</v>
      </c>
      <c r="F27" s="5">
        <v>-1422</v>
      </c>
      <c r="G27" s="5">
        <v>-1344</v>
      </c>
      <c r="H27" s="5">
        <v>-1072</v>
      </c>
      <c r="I27" s="5">
        <v>-1216</v>
      </c>
      <c r="J27" s="5">
        <v>-1174</v>
      </c>
      <c r="K27" s="5">
        <v>-1384</v>
      </c>
      <c r="L27" s="5">
        <v>-1340</v>
      </c>
      <c r="M27" s="5">
        <v>-1266</v>
      </c>
    </row>
    <row r="28" spans="1:13" ht="18" customHeight="1" x14ac:dyDescent="0.3">
      <c r="A28" s="4" t="s">
        <v>58</v>
      </c>
      <c r="B28" s="5">
        <v>6954</v>
      </c>
      <c r="C28" s="5">
        <v>6920</v>
      </c>
      <c r="D28" s="5">
        <v>7098</v>
      </c>
      <c r="E28" s="5">
        <v>7194</v>
      </c>
      <c r="F28" s="5">
        <v>6918</v>
      </c>
      <c r="G28" s="5">
        <v>7196</v>
      </c>
      <c r="H28" s="5">
        <v>7468</v>
      </c>
      <c r="I28" s="5">
        <v>7324</v>
      </c>
      <c r="J28" s="5">
        <v>7566</v>
      </c>
      <c r="K28" s="5">
        <v>7356</v>
      </c>
      <c r="L28" s="5">
        <v>7400</v>
      </c>
      <c r="M28" s="5">
        <v>7624</v>
      </c>
    </row>
    <row r="29" spans="1:13" ht="18" customHeight="1" x14ac:dyDescent="0.3"/>
    <row r="30" spans="1:13" ht="18" customHeight="1" x14ac:dyDescent="0.3">
      <c r="A30" s="1" t="s">
        <v>59</v>
      </c>
    </row>
    <row r="31" spans="1:13" ht="18" customHeight="1" x14ac:dyDescent="0.3">
      <c r="A31" s="4" t="s">
        <v>60</v>
      </c>
      <c r="B31" s="4" t="s">
        <v>20</v>
      </c>
      <c r="C31" s="4" t="s">
        <v>20</v>
      </c>
      <c r="D31" s="4" t="s">
        <v>20</v>
      </c>
      <c r="E31" s="4" t="s">
        <v>20</v>
      </c>
      <c r="F31" s="4" t="s">
        <v>20</v>
      </c>
      <c r="G31" s="4" t="s">
        <v>20</v>
      </c>
    </row>
    <row r="32" spans="1:13" ht="18" customHeight="1" x14ac:dyDescent="0.3">
      <c r="A32" s="4" t="s">
        <v>20</v>
      </c>
      <c r="B32" s="4" t="s">
        <v>20</v>
      </c>
      <c r="C32" s="4" t="s">
        <v>20</v>
      </c>
      <c r="D32" s="4" t="s">
        <v>20</v>
      </c>
      <c r="E32" s="4" t="s">
        <v>20</v>
      </c>
      <c r="F32" s="4" t="s">
        <v>20</v>
      </c>
      <c r="G32" s="4" t="s">
        <v>20</v>
      </c>
    </row>
    <row r="33" spans="1:7" ht="18" customHeight="1" x14ac:dyDescent="0.3">
      <c r="A33" s="4" t="s">
        <v>20</v>
      </c>
      <c r="B33" s="5">
        <v>1985</v>
      </c>
      <c r="C33" s="5">
        <v>1986</v>
      </c>
      <c r="D33" s="5">
        <v>1987</v>
      </c>
      <c r="E33" s="5">
        <v>1988</v>
      </c>
      <c r="F33" s="5">
        <v>1989</v>
      </c>
      <c r="G33" s="5">
        <v>1990</v>
      </c>
    </row>
    <row r="34" spans="1:7" ht="18" customHeight="1" x14ac:dyDescent="0.3">
      <c r="A34" s="4" t="s">
        <v>20</v>
      </c>
      <c r="B34" s="4" t="s">
        <v>20</v>
      </c>
      <c r="C34" s="4" t="s">
        <v>20</v>
      </c>
      <c r="D34" s="4" t="s">
        <v>20</v>
      </c>
      <c r="E34" s="4" t="s">
        <v>20</v>
      </c>
      <c r="F34" s="4" t="s">
        <v>20</v>
      </c>
      <c r="G34" s="4" t="s">
        <v>20</v>
      </c>
    </row>
    <row r="35" spans="1:7" ht="18" customHeight="1" x14ac:dyDescent="0.3">
      <c r="A35" s="4" t="s">
        <v>61</v>
      </c>
      <c r="B35" s="5">
        <v>16024</v>
      </c>
      <c r="C35" s="5">
        <v>16844</v>
      </c>
      <c r="D35" s="5">
        <v>17686</v>
      </c>
      <c r="E35" s="5">
        <v>18570</v>
      </c>
      <c r="F35" s="5">
        <v>19498</v>
      </c>
      <c r="G35" s="5">
        <v>20472</v>
      </c>
    </row>
    <row r="36" spans="1:7" ht="18" customHeight="1" x14ac:dyDescent="0.3">
      <c r="A36" s="4" t="s">
        <v>62</v>
      </c>
      <c r="B36" s="5">
        <v>3433</v>
      </c>
      <c r="C36" s="5">
        <v>3640</v>
      </c>
      <c r="D36" s="5">
        <v>3757</v>
      </c>
      <c r="E36" s="5">
        <v>3608</v>
      </c>
      <c r="F36" s="5">
        <v>3788</v>
      </c>
      <c r="G36" s="5">
        <v>3976</v>
      </c>
    </row>
    <row r="37" spans="1:7" ht="18" customHeight="1" x14ac:dyDescent="0.3">
      <c r="A37" s="4" t="s">
        <v>63</v>
      </c>
      <c r="B37" s="5">
        <v>1675</v>
      </c>
      <c r="C37" s="5">
        <v>1538</v>
      </c>
      <c r="D37" s="5">
        <v>1369</v>
      </c>
      <c r="E37" s="5">
        <v>908</v>
      </c>
      <c r="F37" s="5">
        <v>800</v>
      </c>
      <c r="G37" s="5">
        <v>800</v>
      </c>
    </row>
    <row r="38" spans="1:7" ht="18" customHeight="1" x14ac:dyDescent="0.3">
      <c r="A38" s="4" t="s">
        <v>64</v>
      </c>
      <c r="B38" s="5">
        <v>1758</v>
      </c>
      <c r="C38" s="5">
        <v>2102</v>
      </c>
      <c r="D38" s="5">
        <v>2388</v>
      </c>
      <c r="E38" s="5">
        <v>2700</v>
      </c>
      <c r="F38" s="5">
        <v>2988</v>
      </c>
      <c r="G38" s="5">
        <v>3176</v>
      </c>
    </row>
    <row r="39" spans="1:7" ht="18" customHeight="1" x14ac:dyDescent="0.3">
      <c r="A39" s="4" t="s">
        <v>65</v>
      </c>
      <c r="B39" s="5">
        <v>274</v>
      </c>
      <c r="C39" s="5">
        <v>364</v>
      </c>
      <c r="D39" s="5">
        <v>440</v>
      </c>
      <c r="E39" s="5">
        <v>556</v>
      </c>
      <c r="F39" s="5">
        <v>660</v>
      </c>
      <c r="G39" s="5">
        <v>714</v>
      </c>
    </row>
    <row r="40" spans="1:7" ht="18" customHeight="1" x14ac:dyDescent="0.3">
      <c r="A40" s="4" t="s">
        <v>66</v>
      </c>
      <c r="B40" s="5">
        <v>1484</v>
      </c>
      <c r="C40" s="5">
        <v>1738</v>
      </c>
      <c r="D40" s="5">
        <v>1948</v>
      </c>
      <c r="E40" s="5">
        <v>2144</v>
      </c>
      <c r="F40" s="5">
        <v>2328</v>
      </c>
      <c r="G40" s="5">
        <v>2462</v>
      </c>
    </row>
    <row r="41" spans="1:7" ht="18" customHeight="1" x14ac:dyDescent="0.3">
      <c r="A41" s="4" t="s">
        <v>67</v>
      </c>
      <c r="B41" s="5">
        <v>240</v>
      </c>
      <c r="C41" s="5">
        <v>260</v>
      </c>
      <c r="D41" s="5">
        <v>284</v>
      </c>
      <c r="E41" s="5">
        <v>300</v>
      </c>
      <c r="F41" s="5">
        <v>310</v>
      </c>
      <c r="G41" s="5">
        <v>340</v>
      </c>
    </row>
    <row r="42" spans="1:7" ht="18" customHeight="1" x14ac:dyDescent="0.3">
      <c r="A42" s="4" t="s">
        <v>68</v>
      </c>
      <c r="B42" s="5">
        <v>1724</v>
      </c>
      <c r="C42" s="5">
        <v>1998</v>
      </c>
      <c r="D42" s="5">
        <v>2232</v>
      </c>
      <c r="E42" s="5">
        <v>2444</v>
      </c>
      <c r="F42" s="5">
        <v>2638</v>
      </c>
      <c r="G42" s="5">
        <v>2802</v>
      </c>
    </row>
    <row r="43" spans="1:7" ht="18" customHeight="1" x14ac:dyDescent="0.3">
      <c r="A43" s="4" t="s">
        <v>69</v>
      </c>
      <c r="B43" s="5">
        <v>156</v>
      </c>
      <c r="C43" s="5">
        <v>162</v>
      </c>
      <c r="D43" s="5">
        <v>170</v>
      </c>
      <c r="E43" s="5">
        <v>180</v>
      </c>
      <c r="F43" s="5">
        <v>190</v>
      </c>
      <c r="G43" s="5">
        <v>200</v>
      </c>
    </row>
    <row r="44" spans="1:7" ht="18" customHeight="1" x14ac:dyDescent="0.3">
      <c r="A44" s="4" t="s">
        <v>70</v>
      </c>
      <c r="B44" s="5">
        <v>120</v>
      </c>
      <c r="C44" s="5">
        <v>134</v>
      </c>
      <c r="D44" s="5">
        <v>142</v>
      </c>
      <c r="E44" s="5">
        <v>150</v>
      </c>
      <c r="F44" s="5">
        <v>466</v>
      </c>
      <c r="G44" s="5">
        <v>600</v>
      </c>
    </row>
    <row r="45" spans="1:7" ht="18" customHeight="1" x14ac:dyDescent="0.3">
      <c r="A45" s="4" t="s">
        <v>71</v>
      </c>
      <c r="B45" s="5">
        <v>1448</v>
      </c>
      <c r="C45" s="5">
        <v>1702</v>
      </c>
      <c r="D45" s="5">
        <v>1920</v>
      </c>
      <c r="E45" s="5">
        <v>2114</v>
      </c>
      <c r="F45" s="5">
        <v>1982</v>
      </c>
      <c r="G45" s="5">
        <v>2002</v>
      </c>
    </row>
    <row r="46" spans="1:7" ht="18" customHeight="1" x14ac:dyDescent="0.3">
      <c r="A46" s="4" t="s">
        <v>20</v>
      </c>
      <c r="B46" s="4" t="s">
        <v>20</v>
      </c>
      <c r="C46" s="4" t="s">
        <v>20</v>
      </c>
      <c r="D46" s="4" t="s">
        <v>20</v>
      </c>
      <c r="E46" s="4" t="s">
        <v>20</v>
      </c>
      <c r="F46" s="4" t="s">
        <v>20</v>
      </c>
      <c r="G46" s="4" t="s">
        <v>20</v>
      </c>
    </row>
    <row r="47" spans="1:7" ht="18" customHeight="1" x14ac:dyDescent="0.3">
      <c r="A47" s="4" t="s">
        <v>72</v>
      </c>
      <c r="B47" s="4" t="s">
        <v>20</v>
      </c>
      <c r="C47" s="4" t="s">
        <v>20</v>
      </c>
      <c r="D47" s="4" t="s">
        <v>20</v>
      </c>
      <c r="E47" s="4" t="s">
        <v>20</v>
      </c>
      <c r="F47" s="4" t="s">
        <v>20</v>
      </c>
      <c r="G47" s="4" t="s">
        <v>20</v>
      </c>
    </row>
    <row r="48" spans="1:7" ht="18" customHeight="1" x14ac:dyDescent="0.3">
      <c r="A48" s="4" t="s">
        <v>73</v>
      </c>
      <c r="B48" s="5">
        <v>1448</v>
      </c>
      <c r="C48" s="5">
        <v>1702</v>
      </c>
      <c r="D48" s="5">
        <v>1920</v>
      </c>
      <c r="E48" s="5">
        <v>930</v>
      </c>
      <c r="F48" s="5">
        <v>0</v>
      </c>
      <c r="G48" s="5">
        <v>2002</v>
      </c>
    </row>
    <row r="49" spans="1:7" ht="18" customHeight="1" x14ac:dyDescent="0.3">
      <c r="A49" s="4" t="s">
        <v>74</v>
      </c>
      <c r="B49" s="5">
        <v>0</v>
      </c>
      <c r="C49" s="5">
        <v>0</v>
      </c>
      <c r="D49" s="5">
        <v>0</v>
      </c>
      <c r="E49" s="5">
        <v>1184</v>
      </c>
      <c r="F49" s="4" t="s">
        <v>75</v>
      </c>
      <c r="G49" s="5">
        <v>0</v>
      </c>
    </row>
    <row r="50" spans="1:7" ht="18" customHeight="1" x14ac:dyDescent="0.3">
      <c r="A50" s="4" t="s">
        <v>76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</row>
    <row r="51" spans="1:7" ht="18" customHeight="1" x14ac:dyDescent="0.3">
      <c r="A51" s="4" t="s">
        <v>77</v>
      </c>
      <c r="B51" s="5">
        <v>0.89</v>
      </c>
      <c r="C51" s="5">
        <v>0.8</v>
      </c>
      <c r="D51" s="5">
        <v>0.7</v>
      </c>
      <c r="E51" s="5">
        <v>0.57999999999999996</v>
      </c>
      <c r="F51" s="5">
        <v>0.47</v>
      </c>
      <c r="G51" s="5">
        <v>0.35</v>
      </c>
    </row>
    <row r="52" spans="1:7" ht="18" customHeight="1" x14ac:dyDescent="0.3">
      <c r="A52" s="4" t="s">
        <v>20</v>
      </c>
      <c r="B52" s="4" t="s">
        <v>20</v>
      </c>
      <c r="C52" s="4" t="s">
        <v>20</v>
      </c>
      <c r="D52" s="4" t="s">
        <v>20</v>
      </c>
      <c r="E52" s="4" t="s">
        <v>20</v>
      </c>
      <c r="F52" s="4" t="s">
        <v>20</v>
      </c>
      <c r="G52" s="4" t="s">
        <v>20</v>
      </c>
    </row>
    <row r="53" spans="1:7" ht="18" customHeight="1" x14ac:dyDescent="0.3">
      <c r="A53" s="4" t="s">
        <v>20</v>
      </c>
      <c r="B53" s="4" t="s">
        <v>20</v>
      </c>
      <c r="C53" s="4" t="s">
        <v>20</v>
      </c>
      <c r="D53" s="4" t="s">
        <v>20</v>
      </c>
      <c r="E53" s="4" t="s">
        <v>20</v>
      </c>
      <c r="F53" s="4" t="s">
        <v>20</v>
      </c>
      <c r="G53" s="4" t="s">
        <v>20</v>
      </c>
    </row>
    <row r="54" spans="1:7" ht="18" customHeight="1" x14ac:dyDescent="0.3">
      <c r="A54" s="4" t="s">
        <v>78</v>
      </c>
      <c r="B54" s="4" t="s">
        <v>20</v>
      </c>
      <c r="C54" s="4" t="s">
        <v>20</v>
      </c>
      <c r="D54" s="4" t="s">
        <v>20</v>
      </c>
      <c r="E54" s="4" t="s">
        <v>20</v>
      </c>
      <c r="F54" s="4" t="s">
        <v>20</v>
      </c>
      <c r="G54" s="4" t="s">
        <v>20</v>
      </c>
    </row>
    <row r="55" spans="1:7" ht="18" customHeight="1" x14ac:dyDescent="0.3">
      <c r="A55" s="4" t="s">
        <v>20</v>
      </c>
      <c r="B55" s="4" t="s">
        <v>20</v>
      </c>
      <c r="C55" s="4" t="s">
        <v>20</v>
      </c>
      <c r="D55" s="4" t="s">
        <v>20</v>
      </c>
      <c r="E55" s="4" t="s">
        <v>20</v>
      </c>
      <c r="F55" s="4" t="s">
        <v>20</v>
      </c>
      <c r="G55" s="4" t="s">
        <v>20</v>
      </c>
    </row>
    <row r="56" spans="1:7" ht="18" customHeight="1" x14ac:dyDescent="0.3">
      <c r="A56" s="4" t="s">
        <v>79</v>
      </c>
      <c r="B56" s="4" t="s">
        <v>20</v>
      </c>
      <c r="C56" s="4" t="s">
        <v>20</v>
      </c>
      <c r="D56" s="4" t="s">
        <v>20</v>
      </c>
      <c r="E56" s="4" t="s">
        <v>20</v>
      </c>
      <c r="F56" s="4" t="s">
        <v>20</v>
      </c>
      <c r="G56" s="4" t="s">
        <v>20</v>
      </c>
    </row>
    <row r="57" spans="1:7" ht="18" customHeight="1" x14ac:dyDescent="0.3">
      <c r="A57" s="4" t="s">
        <v>20</v>
      </c>
      <c r="B57" s="4" t="s">
        <v>20</v>
      </c>
      <c r="C57" s="4" t="s">
        <v>20</v>
      </c>
      <c r="D57" s="4" t="s">
        <v>20</v>
      </c>
      <c r="E57" s="4" t="s">
        <v>20</v>
      </c>
      <c r="F57" s="4" t="s">
        <v>20</v>
      </c>
      <c r="G57" s="4" t="s">
        <v>20</v>
      </c>
    </row>
    <row r="58" spans="1:7" ht="18" customHeight="1" x14ac:dyDescent="0.3">
      <c r="A58" s="4" t="s">
        <v>80</v>
      </c>
      <c r="B58" s="4" t="s">
        <v>20</v>
      </c>
      <c r="C58" s="4" t="s">
        <v>20</v>
      </c>
      <c r="D58" s="4" t="s">
        <v>20</v>
      </c>
      <c r="E58" s="4" t="s">
        <v>20</v>
      </c>
      <c r="F58" s="4" t="s">
        <v>20</v>
      </c>
      <c r="G58" s="4" t="s">
        <v>20</v>
      </c>
    </row>
    <row r="59" spans="1:7" ht="18" customHeight="1" x14ac:dyDescent="0.3"/>
    <row r="60" spans="1:7" ht="18" customHeight="1" x14ac:dyDescent="0.3">
      <c r="A60" s="1" t="s">
        <v>81</v>
      </c>
    </row>
    <row r="61" spans="1:7" ht="18" customHeight="1" x14ac:dyDescent="0.3">
      <c r="A61" s="4" t="s">
        <v>20</v>
      </c>
      <c r="B61" s="4" t="s">
        <v>20</v>
      </c>
    </row>
    <row r="62" spans="1:7" ht="18" customHeight="1" x14ac:dyDescent="0.3">
      <c r="A62" s="4" t="s">
        <v>82</v>
      </c>
      <c r="B62" s="4" t="s">
        <v>83</v>
      </c>
    </row>
    <row r="63" spans="1:7" ht="18" customHeight="1" x14ac:dyDescent="0.3">
      <c r="A63" s="5">
        <v>1</v>
      </c>
      <c r="B63" s="5">
        <v>0.57999999999999996</v>
      </c>
    </row>
    <row r="64" spans="1:7" ht="18" customHeight="1" x14ac:dyDescent="0.3">
      <c r="A64" s="5">
        <v>2</v>
      </c>
      <c r="B64" s="5">
        <v>71</v>
      </c>
    </row>
    <row r="65" spans="1:2" ht="18" customHeight="1" x14ac:dyDescent="0.3">
      <c r="A65" s="5">
        <v>3</v>
      </c>
      <c r="B65" s="5">
        <v>81</v>
      </c>
    </row>
    <row r="66" spans="1:2" ht="18" customHeight="1" x14ac:dyDescent="0.3">
      <c r="A66" s="5">
        <v>4</v>
      </c>
      <c r="B66" s="5">
        <v>96</v>
      </c>
    </row>
    <row r="67" spans="1:2" ht="18" customHeight="1" x14ac:dyDescent="0.3">
      <c r="A67" s="5">
        <v>5</v>
      </c>
      <c r="B67" s="5">
        <v>100</v>
      </c>
    </row>
  </sheetData>
  <mergeCells count="1">
    <mergeCell ref="A1:J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64E4A-6709-49FA-844E-592BB0783A6B}">
  <dimension ref="A1:H31"/>
  <sheetViews>
    <sheetView showGridLines="0" topLeftCell="A15" workbookViewId="0" tabSelected="0">
      <selection activeCell="C28" sqref="C28"/>
    </sheetView>
  </sheetViews>
  <sheetFormatPr defaultRowHeight="14.4" x14ac:dyDescent="0.3"/>
  <cols>
    <col min="1" max="1" width="40" customWidth="1"/>
    <col min="2" max="2" width="16" customWidth="1"/>
    <col min="3" max="3" width="14" customWidth="1"/>
    <col min="4" max="4" width="34" customWidth="1"/>
    <col min="5" max="5" width="16" customWidth="1"/>
    <col min="6" max="8" width="14" customWidth="1"/>
  </cols>
  <sheetData>
    <row r="1" spans="1:8" ht="18" customHeight="1" x14ac:dyDescent="0.3">
      <c r="A1" s="48" t="s">
        <v>84</v>
      </c>
      <c r="B1" s="49"/>
      <c r="C1" s="49"/>
      <c r="D1" s="49"/>
      <c r="E1" s="49"/>
      <c r="F1" s="49"/>
      <c r="G1" s="49"/>
      <c r="H1" s="49"/>
    </row>
    <row r="2" spans="1:8" ht="18" customHeight="1" x14ac:dyDescent="0.3"/>
    <row r="3" spans="1:8" ht="18" customHeight="1" x14ac:dyDescent="0.3">
      <c r="A3" s="1" t="s">
        <v>85</v>
      </c>
      <c r="D3" s="1" t="s">
        <v>86</v>
      </c>
    </row>
    <row r="4" spans="1:8" ht="18" customHeight="1" x14ac:dyDescent="0.3">
      <c r="A4" s="6" t="s">
        <v>87</v>
      </c>
      <c r="B4" s="7">
        <v>20000</v>
      </c>
      <c r="D4" s="6" t="s">
        <v>88</v>
      </c>
      <c r="E4" s="8">
        <f>Raw_Case_Data!B10</f>
        <v>5762</v>
      </c>
    </row>
    <row r="5" spans="1:8" ht="18" customHeight="1" x14ac:dyDescent="0.3">
      <c r="A5" s="6" t="s">
        <v>89</v>
      </c>
      <c r="B5" s="7">
        <v>500</v>
      </c>
      <c r="D5" s="6" t="s">
        <v>90</v>
      </c>
      <c r="E5" s="8">
        <f>Raw_Case_Data!B11</f>
        <v>2540</v>
      </c>
    </row>
    <row r="6" spans="1:8" ht="18" customHeight="1" x14ac:dyDescent="0.3">
      <c r="A6" s="6" t="s">
        <v>91</v>
      </c>
      <c r="B6" s="7">
        <v>6000</v>
      </c>
      <c r="D6" s="6" t="s">
        <v>92</v>
      </c>
      <c r="E6" s="8">
        <f>Raw_Case_Data!B12</f>
        <v>588</v>
      </c>
    </row>
    <row r="7" spans="1:8" ht="18" customHeight="1" x14ac:dyDescent="0.3">
      <c r="A7" s="6" t="s">
        <v>93</v>
      </c>
      <c r="B7" s="7">
        <v>6000</v>
      </c>
      <c r="D7" s="6" t="s">
        <v>94</v>
      </c>
      <c r="E7" s="8">
        <f>Raw_Case_Data!B13</f>
        <v>108</v>
      </c>
    </row>
    <row r="8" spans="1:8" ht="18" customHeight="1" x14ac:dyDescent="0.3">
      <c r="A8" s="6" t="s">
        <v>95</v>
      </c>
      <c r="B8" s="7">
        <v>6000</v>
      </c>
      <c r="D8" s="6" t="s">
        <v>96</v>
      </c>
      <c r="E8" s="8">
        <f>Raw_Case_Data!D13</f>
        <v>1266</v>
      </c>
    </row>
    <row r="9" spans="1:8" ht="18" customHeight="1" x14ac:dyDescent="0.3">
      <c r="A9" s="6" t="s">
        <v>97</v>
      </c>
      <c r="B9" s="9">
        <f>B4-B5-B6-B7-B8</f>
        <v>1500</v>
      </c>
      <c r="D9" s="6" t="s">
        <v>98</v>
      </c>
      <c r="E9" s="10">
        <f>E5+E6+E7-E8</f>
        <v>1970</v>
      </c>
    </row>
    <row r="10" spans="1:8" ht="18" customHeight="1" x14ac:dyDescent="0.3">
      <c r="A10" s="6" t="s">
        <v>99</v>
      </c>
      <c r="B10" s="7">
        <v>200</v>
      </c>
      <c r="D10" s="6" t="s">
        <v>100</v>
      </c>
      <c r="E10" s="8">
        <f>Raw_Case_Data!B15</f>
        <v>2110</v>
      </c>
    </row>
    <row r="11" spans="1:8" ht="18" customHeight="1" x14ac:dyDescent="0.3">
      <c r="A11" s="6" t="s">
        <v>101</v>
      </c>
      <c r="B11" s="11">
        <v>350000</v>
      </c>
      <c r="D11" s="6" t="s">
        <v>102</v>
      </c>
      <c r="E11" s="8">
        <f>Raw_Case_Data!B16</f>
        <v>74</v>
      </c>
    </row>
    <row r="12" spans="1:8" ht="18" customHeight="1" x14ac:dyDescent="0.3">
      <c r="A12" s="6" t="s">
        <v>103</v>
      </c>
      <c r="B12" s="12">
        <v>6</v>
      </c>
      <c r="D12" s="6" t="s">
        <v>104</v>
      </c>
      <c r="E12" s="8">
        <f>Raw_Case_Data!D16</f>
        <v>9916</v>
      </c>
    </row>
    <row r="13" spans="1:8" ht="18" customHeight="1" x14ac:dyDescent="0.3">
      <c r="A13" s="6" t="s">
        <v>105</v>
      </c>
      <c r="B13" s="13">
        <v>0.96</v>
      </c>
      <c r="D13" s="6" t="s">
        <v>106</v>
      </c>
      <c r="E13" s="10">
        <f>B4-E12</f>
        <v>10084</v>
      </c>
    </row>
    <row r="14" spans="1:8" ht="18" customHeight="1" x14ac:dyDescent="0.3">
      <c r="A14" s="6" t="s">
        <v>107</v>
      </c>
      <c r="B14" s="13">
        <v>1</v>
      </c>
    </row>
    <row r="15" spans="1:8" ht="18" customHeight="1" x14ac:dyDescent="0.3"/>
    <row r="16" spans="1:8" ht="18" customHeight="1" x14ac:dyDescent="0.3"/>
    <row r="17" spans="1:8" ht="18" customHeight="1" x14ac:dyDescent="0.3">
      <c r="A17" s="1" t="s">
        <v>108</v>
      </c>
      <c r="C17" s="14">
        <v>1985</v>
      </c>
      <c r="D17" s="14">
        <v>1986</v>
      </c>
      <c r="E17" s="14">
        <v>1987</v>
      </c>
      <c r="F17" s="14">
        <v>1988</v>
      </c>
      <c r="G17" s="14">
        <v>1989</v>
      </c>
      <c r="H17" s="14">
        <v>1990</v>
      </c>
    </row>
    <row r="18" spans="1:8" ht="18" customHeight="1" x14ac:dyDescent="0.3">
      <c r="A18" s="6" t="s">
        <v>109</v>
      </c>
      <c r="C18" s="8">
        <f>Raw_Case_Data!B35</f>
        <v>16024</v>
      </c>
      <c r="D18" s="8">
        <f>Raw_Case_Data!C35</f>
        <v>16844</v>
      </c>
      <c r="E18" s="8">
        <f>Raw_Case_Data!D35</f>
        <v>17686</v>
      </c>
      <c r="F18" s="8">
        <f>Raw_Case_Data!E35</f>
        <v>18570</v>
      </c>
      <c r="G18" s="8">
        <f>Raw_Case_Data!F35</f>
        <v>19498</v>
      </c>
      <c r="H18" s="8">
        <f>Raw_Case_Data!G35</f>
        <v>20472</v>
      </c>
    </row>
    <row r="19" spans="1:8" ht="18" customHeight="1" x14ac:dyDescent="0.3">
      <c r="A19" s="6" t="s">
        <v>110</v>
      </c>
      <c r="C19" s="8">
        <f>Raw_Case_Data!B36</f>
        <v>3433</v>
      </c>
      <c r="D19" s="8">
        <f>Raw_Case_Data!C36</f>
        <v>3640</v>
      </c>
      <c r="E19" s="8">
        <f>Raw_Case_Data!D36</f>
        <v>3757</v>
      </c>
      <c r="F19" s="8">
        <f>Raw_Case_Data!E36</f>
        <v>3608</v>
      </c>
      <c r="G19" s="8">
        <f>Raw_Case_Data!F36</f>
        <v>3788</v>
      </c>
      <c r="H19" s="8">
        <f>Raw_Case_Data!G36</f>
        <v>3976</v>
      </c>
    </row>
    <row r="20" spans="1:8" ht="18" customHeight="1" x14ac:dyDescent="0.3">
      <c r="A20" s="6" t="s">
        <v>111</v>
      </c>
      <c r="C20" s="8">
        <f>Raw_Case_Data!B37</f>
        <v>1675</v>
      </c>
      <c r="D20" s="8">
        <f>Raw_Case_Data!C37</f>
        <v>1538</v>
      </c>
      <c r="E20" s="8">
        <f>Raw_Case_Data!D37</f>
        <v>1369</v>
      </c>
      <c r="F20" s="8">
        <f>Raw_Case_Data!E37</f>
        <v>908</v>
      </c>
      <c r="G20" s="8">
        <f>Raw_Case_Data!F37</f>
        <v>800</v>
      </c>
      <c r="H20" s="8">
        <f>Raw_Case_Data!G37</f>
        <v>800</v>
      </c>
    </row>
    <row r="21" spans="1:8" ht="18" customHeight="1" x14ac:dyDescent="0.3">
      <c r="A21" s="6" t="s">
        <v>112</v>
      </c>
      <c r="C21" s="8">
        <f>Raw_Case_Data!B38</f>
        <v>1758</v>
      </c>
      <c r="D21" s="8">
        <f>Raw_Case_Data!C38</f>
        <v>2102</v>
      </c>
      <c r="E21" s="8">
        <f>Raw_Case_Data!D38</f>
        <v>2388</v>
      </c>
      <c r="F21" s="8">
        <f>Raw_Case_Data!E38</f>
        <v>2700</v>
      </c>
      <c r="G21" s="8">
        <f>Raw_Case_Data!F38</f>
        <v>2988</v>
      </c>
      <c r="H21" s="8">
        <f>Raw_Case_Data!G38</f>
        <v>3176</v>
      </c>
    </row>
    <row r="22" spans="1:8" ht="18" customHeight="1" x14ac:dyDescent="0.3">
      <c r="A22" s="6" t="s">
        <v>113</v>
      </c>
      <c r="C22" s="8">
        <f>Raw_Case_Data!B39</f>
        <v>274</v>
      </c>
      <c r="D22" s="8">
        <f>Raw_Case_Data!C39</f>
        <v>364</v>
      </c>
      <c r="E22" s="8">
        <f>Raw_Case_Data!D39</f>
        <v>440</v>
      </c>
      <c r="F22" s="8">
        <f>Raw_Case_Data!E39</f>
        <v>556</v>
      </c>
      <c r="G22" s="8">
        <f>Raw_Case_Data!F39</f>
        <v>660</v>
      </c>
      <c r="H22" s="8">
        <f>Raw_Case_Data!G39</f>
        <v>714</v>
      </c>
    </row>
    <row r="23" spans="1:8" ht="18" customHeight="1" x14ac:dyDescent="0.3">
      <c r="A23" s="6" t="s">
        <v>114</v>
      </c>
      <c r="C23" s="15">
        <f t="shared" ref="C23:H23" si="0">C22/C21</f>
        <v>0.15585893060295791</v>
      </c>
      <c r="D23" s="15">
        <f t="shared" si="0"/>
        <v>0.17316841103710751</v>
      </c>
      <c r="E23" s="15">
        <f t="shared" si="0"/>
        <v>0.18425460636515914</v>
      </c>
      <c r="F23" s="15">
        <f t="shared" si="0"/>
        <v>0.20592592592592593</v>
      </c>
      <c r="G23" s="15">
        <f t="shared" si="0"/>
        <v>0.22088353413654618</v>
      </c>
      <c r="H23" s="15">
        <f t="shared" si="0"/>
        <v>0.22481108312342568</v>
      </c>
    </row>
    <row r="24" spans="1:8" ht="18" customHeight="1" x14ac:dyDescent="0.3">
      <c r="A24" s="6" t="s">
        <v>115</v>
      </c>
      <c r="C24" s="8">
        <f>Raw_Case_Data!B41</f>
        <v>240</v>
      </c>
      <c r="D24" s="8">
        <f>Raw_Case_Data!C41</f>
        <v>260</v>
      </c>
      <c r="E24" s="8">
        <f>Raw_Case_Data!D41</f>
        <v>284</v>
      </c>
      <c r="F24" s="8">
        <f>Raw_Case_Data!E41</f>
        <v>300</v>
      </c>
      <c r="G24" s="8">
        <f>Raw_Case_Data!F41</f>
        <v>310</v>
      </c>
      <c r="H24" s="8">
        <f>Raw_Case_Data!G41</f>
        <v>340</v>
      </c>
    </row>
    <row r="25" spans="1:8" ht="18" customHeight="1" x14ac:dyDescent="0.3">
      <c r="A25" s="6" t="s">
        <v>116</v>
      </c>
      <c r="C25" s="8">
        <f>Raw_Case_Data!B43</f>
        <v>156</v>
      </c>
      <c r="D25" s="8">
        <f>Raw_Case_Data!C43</f>
        <v>162</v>
      </c>
      <c r="E25" s="8">
        <f>Raw_Case_Data!D43</f>
        <v>170</v>
      </c>
      <c r="F25" s="8">
        <f>Raw_Case_Data!E43</f>
        <v>180</v>
      </c>
      <c r="G25" s="8">
        <f>Raw_Case_Data!F43</f>
        <v>190</v>
      </c>
      <c r="H25" s="8">
        <f>Raw_Case_Data!G43</f>
        <v>200</v>
      </c>
    </row>
    <row r="26" spans="1:8" ht="18" customHeight="1" x14ac:dyDescent="0.3">
      <c r="A26" s="6" t="s">
        <v>117</v>
      </c>
      <c r="C26" s="8">
        <f>Raw_Case_Data!B44</f>
        <v>120</v>
      </c>
      <c r="D26" s="8">
        <f>Raw_Case_Data!C44</f>
        <v>134</v>
      </c>
      <c r="E26" s="8">
        <f>Raw_Case_Data!D44</f>
        <v>142</v>
      </c>
      <c r="F26" s="8">
        <f>Raw_Case_Data!E44</f>
        <v>150</v>
      </c>
      <c r="G26" s="8">
        <f>Raw_Case_Data!F44</f>
        <v>466</v>
      </c>
      <c r="H26" s="8">
        <f>Raw_Case_Data!G44</f>
        <v>600</v>
      </c>
    </row>
    <row r="27" spans="1:8" ht="18" customHeight="1" x14ac:dyDescent="0.3">
      <c r="A27" s="6" t="s">
        <v>118</v>
      </c>
      <c r="C27" s="8">
        <f>Raw_Case_Data!B48</f>
        <v>1448</v>
      </c>
      <c r="D27" s="8">
        <f>Raw_Case_Data!C48</f>
        <v>1702</v>
      </c>
      <c r="E27" s="8">
        <f>Raw_Case_Data!D48</f>
        <v>1920</v>
      </c>
      <c r="F27" s="8">
        <f>Raw_Case_Data!E48</f>
        <v>930</v>
      </c>
      <c r="G27" s="8">
        <f>Raw_Case_Data!F48</f>
        <v>0</v>
      </c>
      <c r="H27" s="7">
        <v>0</v>
      </c>
    </row>
    <row r="28" spans="1:8" ht="18" customHeight="1" x14ac:dyDescent="0.3">
      <c r="A28" s="6" t="s">
        <v>119</v>
      </c>
      <c r="C28" s="8">
        <f>Raw_Case_Data!B49</f>
        <v>0</v>
      </c>
      <c r="D28" s="8">
        <f>Raw_Case_Data!C49</f>
        <v>0</v>
      </c>
      <c r="E28" s="8">
        <f>Raw_Case_Data!D49</f>
        <v>0</v>
      </c>
      <c r="F28" s="8">
        <f>Raw_Case_Data!E49</f>
        <v>1184</v>
      </c>
      <c r="G28" s="7">
        <v>4766</v>
      </c>
      <c r="H28" s="8">
        <f>Raw_Case_Data!G49</f>
        <v>0</v>
      </c>
    </row>
    <row r="29" spans="1:8" ht="18" customHeight="1" x14ac:dyDescent="0.3">
      <c r="A29" s="6" t="s">
        <v>120</v>
      </c>
      <c r="C29" s="8">
        <f>Raw_Case_Data!B50</f>
        <v>0</v>
      </c>
      <c r="D29" s="8">
        <f>Raw_Case_Data!C50</f>
        <v>0</v>
      </c>
      <c r="E29" s="8">
        <f>Raw_Case_Data!D50</f>
        <v>0</v>
      </c>
      <c r="F29" s="8">
        <f>Raw_Case_Data!E50</f>
        <v>0</v>
      </c>
      <c r="G29" s="8">
        <f>Raw_Case_Data!F50</f>
        <v>0</v>
      </c>
      <c r="H29" s="8">
        <f>Raw_Case_Data!G50</f>
        <v>0</v>
      </c>
    </row>
    <row r="30" spans="1:8" ht="18" customHeight="1" x14ac:dyDescent="0.3">
      <c r="A30" s="6" t="s">
        <v>121</v>
      </c>
      <c r="C30" s="7">
        <v>0</v>
      </c>
      <c r="D30" s="7">
        <v>0</v>
      </c>
      <c r="E30" s="7">
        <v>0</v>
      </c>
      <c r="F30" s="7">
        <v>0</v>
      </c>
      <c r="G30" s="7">
        <v>2800</v>
      </c>
      <c r="H30" s="7">
        <v>0</v>
      </c>
    </row>
    <row r="31" spans="1:8" ht="18" customHeight="1" x14ac:dyDescent="0.3">
      <c r="A31" s="6" t="s">
        <v>122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2002</v>
      </c>
    </row>
  </sheetData>
  <mergeCells count="1">
    <mergeCell ref="A1:H1"/>
  </mergeCell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91EBB-84ED-4D0C-8C0D-70478184803E}">
  <dimension ref="A1:F17"/>
  <sheetViews>
    <sheetView showGridLines="0" workbookViewId="0" tabSelected="0">
      <selection activeCell="B17" sqref="B17"/>
    </sheetView>
  </sheetViews>
  <sheetFormatPr defaultRowHeight="14.4" x14ac:dyDescent="0.3"/>
  <cols>
    <col min="1" max="1" width="34" customWidth="1"/>
    <col min="2" max="2" width="15" customWidth="1"/>
  </cols>
  <sheetData>
    <row r="1" spans="1:6" ht="18" customHeight="1" x14ac:dyDescent="0.3">
      <c r="A1" s="48" t="s">
        <v>123</v>
      </c>
      <c r="B1" s="49"/>
      <c r="C1" s="49"/>
      <c r="D1" s="49"/>
      <c r="E1" s="49"/>
      <c r="F1" s="49"/>
    </row>
    <row r="2" spans="1:6" ht="18" customHeight="1" x14ac:dyDescent="0.3"/>
    <row r="3" spans="1:6" ht="18" customHeight="1" x14ac:dyDescent="0.3">
      <c r="A3" s="1" t="s">
        <v>124</v>
      </c>
    </row>
    <row r="4" spans="1:6" ht="18" customHeight="1" x14ac:dyDescent="0.3">
      <c r="A4" t="s">
        <v>125</v>
      </c>
      <c r="B4" s="10">
        <f>Inputs!B4</f>
        <v>20000</v>
      </c>
    </row>
    <row r="5" spans="1:6" ht="18" customHeight="1" x14ac:dyDescent="0.3"/>
    <row r="6" spans="1:6" ht="18" customHeight="1" x14ac:dyDescent="0.3">
      <c r="A6" s="16" t="s">
        <v>126</v>
      </c>
      <c r="B6" s="17">
        <f>SUM(B4:B5)</f>
        <v>20000</v>
      </c>
    </row>
    <row r="7" spans="1:6" ht="18" customHeight="1" x14ac:dyDescent="0.3"/>
    <row r="8" spans="1:6" ht="18" customHeight="1" x14ac:dyDescent="0.3">
      <c r="A8" s="1" t="s">
        <v>127</v>
      </c>
    </row>
    <row r="9" spans="1:6" ht="18" customHeight="1" x14ac:dyDescent="0.3">
      <c r="A9" t="s">
        <v>89</v>
      </c>
      <c r="B9" s="10">
        <f>Inputs!B5</f>
        <v>500</v>
      </c>
    </row>
    <row r="10" spans="1:6" ht="18" customHeight="1" x14ac:dyDescent="0.3">
      <c r="A10" t="s">
        <v>128</v>
      </c>
      <c r="B10" s="10">
        <f>Inputs!B6</f>
        <v>6000</v>
      </c>
    </row>
    <row r="11" spans="1:6" ht="18" customHeight="1" x14ac:dyDescent="0.3">
      <c r="A11" t="s">
        <v>129</v>
      </c>
      <c r="B11" s="10">
        <f>Inputs!B7</f>
        <v>6000</v>
      </c>
    </row>
    <row r="12" spans="1:6" ht="18" customHeight="1" x14ac:dyDescent="0.3">
      <c r="A12" t="s">
        <v>130</v>
      </c>
      <c r="B12" s="10">
        <f>Inputs!B8</f>
        <v>6000</v>
      </c>
    </row>
    <row r="13" spans="1:6" ht="18" customHeight="1" x14ac:dyDescent="0.3">
      <c r="A13" t="s">
        <v>97</v>
      </c>
      <c r="B13" s="10">
        <f>Inputs!B9</f>
        <v>1500</v>
      </c>
    </row>
    <row r="14" spans="1:6" ht="18" customHeight="1" x14ac:dyDescent="0.3"/>
    <row r="15" spans="1:6" ht="18" customHeight="1" x14ac:dyDescent="0.3">
      <c r="A15" s="16" t="s">
        <v>131</v>
      </c>
      <c r="B15" s="17">
        <f>SUM(B9:B13)</f>
        <v>20000</v>
      </c>
    </row>
    <row r="16" spans="1:6" ht="18" customHeight="1" x14ac:dyDescent="0.3"/>
    <row r="17" spans="1:2" ht="18" customHeight="1" x14ac:dyDescent="0.3">
      <c r="A17" s="16" t="s">
        <v>132</v>
      </c>
      <c r="B17" s="18">
        <f>B15-B6</f>
        <v>0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D046C-21EA-481E-81C6-B5923F83F840}">
  <dimension ref="A1:I23"/>
  <sheetViews>
    <sheetView showGridLines="0" workbookViewId="0" tabSelected="0">
      <selection sqref="A1:I1"/>
    </sheetView>
  </sheetViews>
  <sheetFormatPr defaultRowHeight="14.4" x14ac:dyDescent="0.3"/>
  <cols>
    <col min="1" max="1" width="30" customWidth="1"/>
    <col min="3" max="8" width="13" customWidth="1"/>
  </cols>
  <sheetData>
    <row r="1" spans="1:9" ht="18" customHeight="1" x14ac:dyDescent="0.3">
      <c r="A1" s="48" t="s">
        <v>133</v>
      </c>
      <c r="B1" s="49"/>
      <c r="C1" s="49"/>
      <c r="D1" s="49"/>
      <c r="E1" s="49"/>
      <c r="F1" s="49"/>
      <c r="G1" s="49"/>
      <c r="H1" s="49"/>
      <c r="I1" s="49"/>
    </row>
    <row r="2" spans="1:9" ht="18" customHeight="1" x14ac:dyDescent="0.3"/>
    <row r="3" spans="1:9" ht="18" customHeight="1" x14ac:dyDescent="0.3">
      <c r="C3" s="14">
        <v>1985</v>
      </c>
      <c r="D3" s="14">
        <v>1986</v>
      </c>
      <c r="E3" s="14">
        <v>1987</v>
      </c>
      <c r="F3" s="14">
        <v>1988</v>
      </c>
      <c r="G3" s="14">
        <v>1989</v>
      </c>
      <c r="H3" s="14">
        <v>1990</v>
      </c>
    </row>
    <row r="4" spans="1:9" ht="18" customHeight="1" x14ac:dyDescent="0.3">
      <c r="A4" s="6" t="s">
        <v>134</v>
      </c>
      <c r="C4" s="10">
        <f>Inputs!B6</f>
        <v>6000</v>
      </c>
      <c r="D4" s="10">
        <f>C6</f>
        <v>4552</v>
      </c>
      <c r="E4" s="10">
        <f>D6</f>
        <v>2850</v>
      </c>
      <c r="F4" s="10">
        <f>E6</f>
        <v>930</v>
      </c>
      <c r="G4" s="10">
        <f>F6</f>
        <v>0</v>
      </c>
      <c r="H4" s="10">
        <f>G6</f>
        <v>0</v>
      </c>
    </row>
    <row r="5" spans="1:9" ht="18" customHeight="1" x14ac:dyDescent="0.3">
      <c r="A5" s="6" t="s">
        <v>135</v>
      </c>
      <c r="C5" s="10">
        <f>Inputs!C27</f>
        <v>1448</v>
      </c>
      <c r="D5" s="10">
        <f>Inputs!D27</f>
        <v>1702</v>
      </c>
      <c r="E5" s="10">
        <f>Inputs!E27</f>
        <v>1920</v>
      </c>
      <c r="F5" s="10">
        <f>Inputs!F27</f>
        <v>930</v>
      </c>
      <c r="G5" s="10">
        <f>Inputs!G27</f>
        <v>0</v>
      </c>
      <c r="H5" s="10">
        <f>Inputs!H27</f>
        <v>0</v>
      </c>
    </row>
    <row r="6" spans="1:9" ht="18" customHeight="1" x14ac:dyDescent="0.3">
      <c r="A6" s="19" t="s">
        <v>136</v>
      </c>
      <c r="B6" s="20"/>
      <c r="C6" s="21">
        <f t="shared" ref="C6:H6" si="0">MAX(0,C4-C5)</f>
        <v>4552</v>
      </c>
      <c r="D6" s="21">
        <f t="shared" si="0"/>
        <v>2850</v>
      </c>
      <c r="E6" s="21">
        <f t="shared" si="0"/>
        <v>930</v>
      </c>
      <c r="F6" s="21">
        <f t="shared" si="0"/>
        <v>0</v>
      </c>
      <c r="G6" s="21">
        <f t="shared" si="0"/>
        <v>0</v>
      </c>
      <c r="H6" s="21">
        <f t="shared" si="0"/>
        <v>0</v>
      </c>
    </row>
    <row r="7" spans="1:9" ht="18" customHeight="1" x14ac:dyDescent="0.3"/>
    <row r="8" spans="1:9" ht="18" customHeight="1" x14ac:dyDescent="0.3">
      <c r="A8" s="6" t="s">
        <v>137</v>
      </c>
      <c r="C8" s="10" t="s">
        <v>138</v>
      </c>
      <c r="D8" s="10">
        <f>C11</f>
        <v>0</v>
      </c>
      <c r="E8" s="10">
        <f>D11</f>
        <v>0</v>
      </c>
      <c r="F8" s="10">
        <f>E11</f>
        <v>0</v>
      </c>
      <c r="G8" s="10">
        <f>F11</f>
        <v>0</v>
      </c>
      <c r="H8" s="10">
        <f>G11</f>
        <v>2800</v>
      </c>
    </row>
    <row r="9" spans="1:9" ht="18" customHeight="1" x14ac:dyDescent="0.3">
      <c r="A9" s="6" t="s">
        <v>139</v>
      </c>
      <c r="C9" s="10">
        <f>Inputs!C30</f>
        <v>0</v>
      </c>
      <c r="D9" s="10">
        <f>Inputs!D30</f>
        <v>0</v>
      </c>
      <c r="E9" s="10">
        <f>Inputs!E30</f>
        <v>0</v>
      </c>
      <c r="F9" s="10">
        <f>Inputs!F30</f>
        <v>0</v>
      </c>
      <c r="G9" s="10">
        <f>Inputs!G30</f>
        <v>2800</v>
      </c>
      <c r="H9" s="10">
        <f>Inputs!H30</f>
        <v>0</v>
      </c>
    </row>
    <row r="10" spans="1:9" ht="18" customHeight="1" x14ac:dyDescent="0.3">
      <c r="A10" s="6" t="s">
        <v>140</v>
      </c>
      <c r="C10" s="10">
        <f>Inputs!C31</f>
        <v>0</v>
      </c>
      <c r="D10" s="10">
        <f>Inputs!D31</f>
        <v>0</v>
      </c>
      <c r="E10" s="10">
        <f>Inputs!E31</f>
        <v>0</v>
      </c>
      <c r="F10" s="10">
        <f>Inputs!F31</f>
        <v>0</v>
      </c>
      <c r="G10" s="10">
        <f>Inputs!G31</f>
        <v>0</v>
      </c>
      <c r="H10" s="10">
        <f>Inputs!H31</f>
        <v>2002</v>
      </c>
    </row>
    <row r="11" spans="1:9" ht="18" customHeight="1" x14ac:dyDescent="0.3">
      <c r="A11" s="19" t="s">
        <v>141</v>
      </c>
      <c r="B11" s="20"/>
      <c r="C11" s="21">
        <f t="shared" ref="C11:H11" si="1">MAX(0,C8+C9-C10)</f>
        <v>0</v>
      </c>
      <c r="D11" s="21">
        <f t="shared" si="1"/>
        <v>0</v>
      </c>
      <c r="E11" s="21">
        <f t="shared" si="1"/>
        <v>0</v>
      </c>
      <c r="F11" s="21">
        <f t="shared" si="1"/>
        <v>0</v>
      </c>
      <c r="G11" s="21">
        <f t="shared" si="1"/>
        <v>2800</v>
      </c>
      <c r="H11" s="21">
        <f t="shared" si="1"/>
        <v>798</v>
      </c>
    </row>
    <row r="12" spans="1:9" ht="18" customHeight="1" x14ac:dyDescent="0.3"/>
    <row r="13" spans="1:9" ht="18" customHeight="1" x14ac:dyDescent="0.3">
      <c r="A13" s="6" t="s">
        <v>142</v>
      </c>
      <c r="C13" s="10">
        <f>Inputs!B8</f>
        <v>6000</v>
      </c>
      <c r="D13" s="10">
        <f>C16</f>
        <v>6000</v>
      </c>
      <c r="E13" s="10">
        <f>D16</f>
        <v>6000</v>
      </c>
      <c r="F13" s="10">
        <f>E16</f>
        <v>6000</v>
      </c>
      <c r="G13" s="10">
        <f>F16</f>
        <v>4766.6666666666661</v>
      </c>
      <c r="H13" s="10">
        <f>G16</f>
        <v>0</v>
      </c>
    </row>
    <row r="14" spans="1:9" ht="18" customHeight="1" x14ac:dyDescent="0.3">
      <c r="A14" s="6" t="s">
        <v>143</v>
      </c>
      <c r="C14" s="10">
        <f>Inputs!C28</f>
        <v>0</v>
      </c>
      <c r="D14" s="10">
        <f>Inputs!D28</f>
        <v>0</v>
      </c>
      <c r="E14" s="10">
        <f>Inputs!E28</f>
        <v>0</v>
      </c>
      <c r="F14" s="10">
        <f>Inputs!F28</f>
        <v>1184</v>
      </c>
      <c r="G14" s="10">
        <f>Inputs!G28</f>
        <v>4766</v>
      </c>
      <c r="H14" s="10">
        <f>Inputs!H28</f>
        <v>0</v>
      </c>
    </row>
    <row r="15" spans="1:9" ht="18" customHeight="1" x14ac:dyDescent="0.3">
      <c r="A15" s="6" t="s">
        <v>144</v>
      </c>
      <c r="C15" s="10" t="s">
        <v>138</v>
      </c>
      <c r="D15" s="10" t="s">
        <v>138</v>
      </c>
      <c r="E15" s="10" t="s">
        <v>138</v>
      </c>
      <c r="F15" s="10">
        <f>MIN(F13,F14/Inputs!B13)</f>
        <v>1233.3333333333335</v>
      </c>
      <c r="G15" s="10">
        <f>G13</f>
        <v>4766.6666666666661</v>
      </c>
      <c r="H15" s="10" t="s">
        <v>138</v>
      </c>
    </row>
    <row r="16" spans="1:9" ht="18" customHeight="1" x14ac:dyDescent="0.3">
      <c r="A16" s="19" t="s">
        <v>145</v>
      </c>
      <c r="B16" s="20"/>
      <c r="C16" s="21">
        <f t="shared" ref="C16:H16" si="2">MAX(0,C13-C15)</f>
        <v>6000</v>
      </c>
      <c r="D16" s="21">
        <f t="shared" si="2"/>
        <v>6000</v>
      </c>
      <c r="E16" s="21">
        <f t="shared" si="2"/>
        <v>6000</v>
      </c>
      <c r="F16" s="21">
        <f t="shared" si="2"/>
        <v>4766.6666666666661</v>
      </c>
      <c r="G16" s="21">
        <f t="shared" si="2"/>
        <v>0</v>
      </c>
      <c r="H16" s="21">
        <f t="shared" si="2"/>
        <v>0</v>
      </c>
    </row>
    <row r="17" spans="1:8" ht="18" customHeight="1" x14ac:dyDescent="0.3"/>
    <row r="18" spans="1:8" ht="18" customHeight="1" x14ac:dyDescent="0.3">
      <c r="A18" s="6" t="s">
        <v>146</v>
      </c>
      <c r="C18" s="10">
        <f>Inputs!B7</f>
        <v>6000</v>
      </c>
      <c r="D18" s="10">
        <f>C20</f>
        <v>6000</v>
      </c>
      <c r="E18" s="10">
        <f>D20</f>
        <v>6000</v>
      </c>
      <c r="F18" s="10">
        <f>E20</f>
        <v>6000</v>
      </c>
      <c r="G18" s="10">
        <f>F20</f>
        <v>6000</v>
      </c>
      <c r="H18" s="10">
        <f>G20</f>
        <v>6000</v>
      </c>
    </row>
    <row r="19" spans="1:8" ht="18" customHeight="1" x14ac:dyDescent="0.3">
      <c r="A19" s="6" t="s">
        <v>147</v>
      </c>
      <c r="C19" s="10">
        <f>Inputs!C29</f>
        <v>0</v>
      </c>
      <c r="D19" s="10">
        <f>Inputs!D29</f>
        <v>0</v>
      </c>
      <c r="E19" s="10">
        <f>Inputs!E29</f>
        <v>0</v>
      </c>
      <c r="F19" s="10">
        <f>Inputs!F29</f>
        <v>0</v>
      </c>
      <c r="G19" s="10">
        <f>Inputs!G29</f>
        <v>0</v>
      </c>
      <c r="H19" s="10">
        <f>Inputs!H29</f>
        <v>0</v>
      </c>
    </row>
    <row r="20" spans="1:8" ht="18" customHeight="1" x14ac:dyDescent="0.3">
      <c r="A20" s="19" t="s">
        <v>148</v>
      </c>
      <c r="B20" s="20"/>
      <c r="C20" s="21">
        <f t="shared" ref="C20:H20" si="3">MAX(0,C18-C19)</f>
        <v>6000</v>
      </c>
      <c r="D20" s="21">
        <f t="shared" si="3"/>
        <v>6000</v>
      </c>
      <c r="E20" s="21">
        <f t="shared" si="3"/>
        <v>6000</v>
      </c>
      <c r="F20" s="21">
        <f t="shared" si="3"/>
        <v>6000</v>
      </c>
      <c r="G20" s="21">
        <f t="shared" si="3"/>
        <v>6000</v>
      </c>
      <c r="H20" s="21">
        <f t="shared" si="3"/>
        <v>6000</v>
      </c>
    </row>
    <row r="21" spans="1:8" ht="18" customHeight="1" x14ac:dyDescent="0.3"/>
    <row r="22" spans="1:8" ht="18" customHeight="1" x14ac:dyDescent="0.3">
      <c r="A22" s="19" t="s">
        <v>149</v>
      </c>
      <c r="B22" s="20"/>
      <c r="C22" s="21">
        <f t="shared" ref="C22:H22" si="4">SUM(C6,C11,C16,C20)</f>
        <v>16552</v>
      </c>
      <c r="D22" s="21">
        <f t="shared" si="4"/>
        <v>14850</v>
      </c>
      <c r="E22" s="21">
        <f t="shared" si="4"/>
        <v>12930</v>
      </c>
      <c r="F22" s="21">
        <f t="shared" si="4"/>
        <v>10766.666666666666</v>
      </c>
      <c r="G22" s="21">
        <f t="shared" si="4"/>
        <v>8800</v>
      </c>
      <c r="H22" s="21">
        <f t="shared" si="4"/>
        <v>6798</v>
      </c>
    </row>
    <row r="23" spans="1:8" ht="18" customHeight="1" x14ac:dyDescent="0.3">
      <c r="A23" s="6" t="s">
        <v>150</v>
      </c>
      <c r="C23" s="15">
        <f>C22/(C22+Balance_Sheet!C16)</f>
        <v>0.88490521328167226</v>
      </c>
      <c r="D23" s="15">
        <f>D22/(D22+Balance_Sheet!D16)</f>
        <v>0.7854568498765323</v>
      </c>
      <c r="E23" s="15">
        <f>E22/(E22+Balance_Sheet!E16)</f>
        <v>0.67705751458330099</v>
      </c>
      <c r="F23" s="15">
        <f>F22/(F22+Balance_Sheet!F16)</f>
        <v>0.55825874854324842</v>
      </c>
      <c r="G23" s="15">
        <f>G22/(G22+Balance_Sheet!G16)</f>
        <v>0.44435508601938783</v>
      </c>
      <c r="H23" s="15">
        <f>H22/(H22+Balance_Sheet!H16)</f>
        <v>0.3329248987402878</v>
      </c>
    </row>
  </sheetData>
  <mergeCells count="1">
    <mergeCell ref="A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2242B-4490-4389-BAF7-DD2EAF256C5B}">
  <dimension ref="A1:I13"/>
  <sheetViews>
    <sheetView showGridLines="0" workbookViewId="0" tabSelected="0">
      <selection sqref="A1:I1"/>
    </sheetView>
  </sheetViews>
  <sheetFormatPr defaultRowHeight="14.4" x14ac:dyDescent="0.3"/>
  <cols>
    <col min="1" max="1" width="30" customWidth="1"/>
    <col min="3" max="8" width="13" customWidth="1"/>
  </cols>
  <sheetData>
    <row r="1" spans="1:9" ht="18" customHeight="1" x14ac:dyDescent="0.3">
      <c r="A1" s="48" t="s">
        <v>151</v>
      </c>
      <c r="B1" s="49"/>
      <c r="C1" s="49"/>
      <c r="D1" s="49"/>
      <c r="E1" s="49"/>
      <c r="F1" s="49"/>
      <c r="G1" s="49"/>
      <c r="H1" s="49"/>
      <c r="I1" s="49"/>
    </row>
    <row r="2" spans="1:9" ht="18" customHeight="1" x14ac:dyDescent="0.3"/>
    <row r="3" spans="1:9" ht="18" customHeight="1" x14ac:dyDescent="0.3">
      <c r="C3" s="14">
        <v>1985</v>
      </c>
      <c r="D3" s="14">
        <v>1986</v>
      </c>
      <c r="E3" s="14">
        <v>1987</v>
      </c>
      <c r="F3" s="14">
        <v>1988</v>
      </c>
      <c r="G3" s="14">
        <v>1989</v>
      </c>
      <c r="H3" s="14">
        <v>1990</v>
      </c>
    </row>
    <row r="4" spans="1:9" ht="18" customHeight="1" x14ac:dyDescent="0.3">
      <c r="A4" s="6" t="s">
        <v>109</v>
      </c>
      <c r="C4" s="10">
        <f>Inputs!C18</f>
        <v>16024</v>
      </c>
      <c r="D4" s="10">
        <f>Inputs!D18</f>
        <v>16844</v>
      </c>
      <c r="E4" s="10">
        <f>Inputs!E18</f>
        <v>17686</v>
      </c>
      <c r="F4" s="10">
        <f>Inputs!F18</f>
        <v>18570</v>
      </c>
      <c r="G4" s="10">
        <f>Inputs!G18</f>
        <v>19498</v>
      </c>
      <c r="H4" s="10">
        <f>Inputs!H18</f>
        <v>20472</v>
      </c>
    </row>
    <row r="5" spans="1:9" ht="18" customHeight="1" x14ac:dyDescent="0.3">
      <c r="A5" s="6" t="s">
        <v>110</v>
      </c>
      <c r="C5" s="10">
        <f>Inputs!C19</f>
        <v>3433</v>
      </c>
      <c r="D5" s="10">
        <f>Inputs!D19</f>
        <v>3640</v>
      </c>
      <c r="E5" s="10">
        <f>Inputs!E19</f>
        <v>3757</v>
      </c>
      <c r="F5" s="10">
        <f>Inputs!F19</f>
        <v>3608</v>
      </c>
      <c r="G5" s="10">
        <f>Inputs!G19</f>
        <v>3788</v>
      </c>
      <c r="H5" s="10">
        <f>Inputs!H19</f>
        <v>3976</v>
      </c>
    </row>
    <row r="6" spans="1:9" ht="18" customHeight="1" x14ac:dyDescent="0.3">
      <c r="A6" s="6" t="s">
        <v>152</v>
      </c>
      <c r="C6" s="10">
        <f>Inputs!B10</f>
        <v>200</v>
      </c>
      <c r="D6" s="10">
        <f>Inputs!B10</f>
        <v>200</v>
      </c>
      <c r="E6" s="10">
        <f>Inputs!B10</f>
        <v>200</v>
      </c>
      <c r="F6" s="10">
        <f>Inputs!B10</f>
        <v>200</v>
      </c>
      <c r="G6" s="10">
        <f>Inputs!B10</f>
        <v>200</v>
      </c>
      <c r="H6" s="10">
        <f>Inputs!B10</f>
        <v>200</v>
      </c>
    </row>
    <row r="7" spans="1:9" ht="18" customHeight="1" x14ac:dyDescent="0.3">
      <c r="A7" s="19" t="s">
        <v>153</v>
      </c>
      <c r="B7" s="20"/>
      <c r="C7" s="21">
        <f t="shared" ref="C7:H7" si="0">SUM(C5:C6)</f>
        <v>3633</v>
      </c>
      <c r="D7" s="21">
        <f t="shared" si="0"/>
        <v>3840</v>
      </c>
      <c r="E7" s="21">
        <f t="shared" si="0"/>
        <v>3957</v>
      </c>
      <c r="F7" s="21">
        <f t="shared" si="0"/>
        <v>3808</v>
      </c>
      <c r="G7" s="21">
        <f t="shared" si="0"/>
        <v>3988</v>
      </c>
      <c r="H7" s="21">
        <f t="shared" si="0"/>
        <v>4176</v>
      </c>
    </row>
    <row r="8" spans="1:9" ht="18" customHeight="1" x14ac:dyDescent="0.3">
      <c r="A8" s="6" t="s">
        <v>154</v>
      </c>
      <c r="C8" s="10">
        <f>Inputs!C20</f>
        <v>1675</v>
      </c>
      <c r="D8" s="10">
        <f>Inputs!D20</f>
        <v>1538</v>
      </c>
      <c r="E8" s="10">
        <f>Inputs!E20</f>
        <v>1369</v>
      </c>
      <c r="F8" s="10">
        <f>Inputs!F20</f>
        <v>908</v>
      </c>
      <c r="G8" s="10">
        <f>Inputs!G20</f>
        <v>800</v>
      </c>
      <c r="H8" s="10">
        <f>Inputs!H20</f>
        <v>800</v>
      </c>
    </row>
    <row r="9" spans="1:9" ht="18" customHeight="1" x14ac:dyDescent="0.3">
      <c r="A9" s="19" t="s">
        <v>155</v>
      </c>
      <c r="B9" s="20"/>
      <c r="C9" s="21">
        <f t="shared" ref="C9:H9" si="1">C7-C8</f>
        <v>1958</v>
      </c>
      <c r="D9" s="21">
        <f t="shared" si="1"/>
        <v>2302</v>
      </c>
      <c r="E9" s="21">
        <f t="shared" si="1"/>
        <v>2588</v>
      </c>
      <c r="F9" s="21">
        <f t="shared" si="1"/>
        <v>2900</v>
      </c>
      <c r="G9" s="21">
        <f t="shared" si="1"/>
        <v>3188</v>
      </c>
      <c r="H9" s="21">
        <f t="shared" si="1"/>
        <v>3376</v>
      </c>
    </row>
    <row r="10" spans="1:9" ht="18" customHeight="1" x14ac:dyDescent="0.3">
      <c r="A10" s="6" t="s">
        <v>156</v>
      </c>
      <c r="C10" s="15">
        <f>Inputs!C23</f>
        <v>0.15585893060295791</v>
      </c>
      <c r="D10" s="15">
        <f>Inputs!D23</f>
        <v>0.17316841103710751</v>
      </c>
      <c r="E10" s="15">
        <f>Inputs!E23</f>
        <v>0.18425460636515914</v>
      </c>
      <c r="F10" s="15">
        <f>Inputs!F23</f>
        <v>0.20592592592592593</v>
      </c>
      <c r="G10" s="15">
        <f>Inputs!G23</f>
        <v>0.22088353413654618</v>
      </c>
      <c r="H10" s="15">
        <f>Inputs!H23</f>
        <v>0.22481108312342568</v>
      </c>
    </row>
    <row r="11" spans="1:9" ht="18" customHeight="1" x14ac:dyDescent="0.3">
      <c r="A11" s="6" t="s">
        <v>65</v>
      </c>
      <c r="C11" s="10">
        <f t="shared" ref="C11:H11" si="2">C9*C10</f>
        <v>305.17178612059161</v>
      </c>
      <c r="D11" s="10">
        <f t="shared" si="2"/>
        <v>398.63368220742149</v>
      </c>
      <c r="E11" s="10">
        <f t="shared" si="2"/>
        <v>476.85092127303187</v>
      </c>
      <c r="F11" s="10">
        <f t="shared" si="2"/>
        <v>597.18518518518522</v>
      </c>
      <c r="G11" s="10">
        <f t="shared" si="2"/>
        <v>704.1767068273092</v>
      </c>
      <c r="H11" s="10">
        <f t="shared" si="2"/>
        <v>758.96221662468508</v>
      </c>
    </row>
    <row r="12" spans="1:9" ht="18" customHeight="1" x14ac:dyDescent="0.3">
      <c r="A12" s="19" t="s">
        <v>157</v>
      </c>
      <c r="B12" s="20"/>
      <c r="C12" s="21">
        <f t="shared" ref="C12:H12" si="3">C9-C11</f>
        <v>1652.8282138794084</v>
      </c>
      <c r="D12" s="21">
        <f t="shared" si="3"/>
        <v>1903.3663177925785</v>
      </c>
      <c r="E12" s="21">
        <f t="shared" si="3"/>
        <v>2111.1490787269681</v>
      </c>
      <c r="F12" s="21">
        <f t="shared" si="3"/>
        <v>2302.8148148148148</v>
      </c>
      <c r="G12" s="21">
        <f t="shared" si="3"/>
        <v>2483.8232931726907</v>
      </c>
      <c r="H12" s="21">
        <f t="shared" si="3"/>
        <v>2617.037783375315</v>
      </c>
    </row>
    <row r="13" spans="1:9" ht="18" customHeight="1" x14ac:dyDescent="0.3">
      <c r="A13" s="6" t="s">
        <v>158</v>
      </c>
      <c r="C13" s="15">
        <f t="shared" ref="C13:H13" si="4">C7/C4</f>
        <v>0.22672241637543686</v>
      </c>
      <c r="D13" s="15">
        <f t="shared" si="4"/>
        <v>0.22797435288530041</v>
      </c>
      <c r="E13" s="15">
        <f t="shared" si="4"/>
        <v>0.22373628858984507</v>
      </c>
      <c r="F13" s="15">
        <f t="shared" si="4"/>
        <v>0.20506192784060312</v>
      </c>
      <c r="G13" s="15">
        <f t="shared" si="4"/>
        <v>0.20453379833829111</v>
      </c>
      <c r="H13" s="15">
        <f t="shared" si="4"/>
        <v>0.20398593200468934</v>
      </c>
    </row>
  </sheetData>
  <mergeCells count="1">
    <mergeCell ref="A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78AD9-389C-4A73-9BAF-3CA94C48A649}">
  <dimension ref="A1:I17"/>
  <sheetViews>
    <sheetView showGridLines="0" workbookViewId="0" tabSelected="0">
      <selection sqref="A1:I1"/>
    </sheetView>
  </sheetViews>
  <sheetFormatPr defaultRowHeight="14.4" x14ac:dyDescent="0.3"/>
  <cols>
    <col min="1" max="1" width="32" customWidth="1"/>
    <col min="3" max="8" width="13" customWidth="1"/>
  </cols>
  <sheetData>
    <row r="1" spans="1:9" ht="18" customHeight="1" x14ac:dyDescent="0.3">
      <c r="A1" s="48" t="s">
        <v>159</v>
      </c>
      <c r="B1" s="49"/>
      <c r="C1" s="49"/>
      <c r="D1" s="49"/>
      <c r="E1" s="49"/>
      <c r="F1" s="49"/>
      <c r="G1" s="49"/>
      <c r="H1" s="49"/>
      <c r="I1" s="49"/>
    </row>
    <row r="2" spans="1:9" ht="18" customHeight="1" x14ac:dyDescent="0.3"/>
    <row r="3" spans="1:9" ht="18" customHeight="1" x14ac:dyDescent="0.3">
      <c r="C3" s="14">
        <v>1985</v>
      </c>
      <c r="D3" s="14">
        <v>1986</v>
      </c>
      <c r="E3" s="14">
        <v>1987</v>
      </c>
      <c r="F3" s="14">
        <v>1988</v>
      </c>
      <c r="G3" s="14">
        <v>1989</v>
      </c>
      <c r="H3" s="14">
        <v>1990</v>
      </c>
    </row>
    <row r="4" spans="1:9" ht="18" customHeight="1" x14ac:dyDescent="0.3">
      <c r="A4" s="6" t="s">
        <v>157</v>
      </c>
      <c r="C4" s="10">
        <f>Income_Statement!C12</f>
        <v>1652.8282138794084</v>
      </c>
      <c r="D4" s="10">
        <f>Income_Statement!D12</f>
        <v>1903.3663177925785</v>
      </c>
      <c r="E4" s="10">
        <f>Income_Statement!E12</f>
        <v>2111.1490787269681</v>
      </c>
      <c r="F4" s="10">
        <f>Income_Statement!F12</f>
        <v>2302.8148148148148</v>
      </c>
      <c r="G4" s="10">
        <f>Income_Statement!G12</f>
        <v>2483.8232931726907</v>
      </c>
      <c r="H4" s="10">
        <f>Income_Statement!H12</f>
        <v>2617.037783375315</v>
      </c>
    </row>
    <row r="5" spans="1:9" ht="18" customHeight="1" x14ac:dyDescent="0.3">
      <c r="A5" s="6" t="s">
        <v>115</v>
      </c>
      <c r="C5" s="10">
        <f>Inputs!C24</f>
        <v>240</v>
      </c>
      <c r="D5" s="10">
        <f>Inputs!D24</f>
        <v>260</v>
      </c>
      <c r="E5" s="10">
        <f>Inputs!E24</f>
        <v>284</v>
      </c>
      <c r="F5" s="10">
        <f>Inputs!F24</f>
        <v>300</v>
      </c>
      <c r="G5" s="10">
        <f>Inputs!G24</f>
        <v>310</v>
      </c>
      <c r="H5" s="10">
        <f>Inputs!H24</f>
        <v>340</v>
      </c>
    </row>
    <row r="6" spans="1:9" ht="18" customHeight="1" x14ac:dyDescent="0.3">
      <c r="A6" s="19" t="s">
        <v>68</v>
      </c>
      <c r="B6" s="20"/>
      <c r="C6" s="21">
        <f t="shared" ref="C6:H6" si="0">SUM(C4:C5)</f>
        <v>1892.8282138794084</v>
      </c>
      <c r="D6" s="21">
        <f t="shared" si="0"/>
        <v>2163.3663177925782</v>
      </c>
      <c r="E6" s="21">
        <f t="shared" si="0"/>
        <v>2395.1490787269681</v>
      </c>
      <c r="F6" s="21">
        <f t="shared" si="0"/>
        <v>2602.8148148148148</v>
      </c>
      <c r="G6" s="21">
        <f t="shared" si="0"/>
        <v>2793.8232931726907</v>
      </c>
      <c r="H6" s="21">
        <f t="shared" si="0"/>
        <v>2957.037783375315</v>
      </c>
    </row>
    <row r="7" spans="1:9" ht="18" customHeight="1" x14ac:dyDescent="0.3">
      <c r="A7" s="6" t="s">
        <v>160</v>
      </c>
      <c r="C7" s="10">
        <f>Inputs!C25</f>
        <v>156</v>
      </c>
      <c r="D7" s="10">
        <f>Inputs!D25</f>
        <v>162</v>
      </c>
      <c r="E7" s="10">
        <f>Inputs!E25</f>
        <v>170</v>
      </c>
      <c r="F7" s="10">
        <f>Inputs!F25</f>
        <v>180</v>
      </c>
      <c r="G7" s="10">
        <f>Inputs!G25</f>
        <v>190</v>
      </c>
      <c r="H7" s="10">
        <f>Inputs!H25</f>
        <v>200</v>
      </c>
    </row>
    <row r="8" spans="1:9" ht="18" customHeight="1" x14ac:dyDescent="0.3">
      <c r="A8" s="6" t="s">
        <v>117</v>
      </c>
      <c r="C8" s="10">
        <f>Inputs!C26</f>
        <v>120</v>
      </c>
      <c r="D8" s="10">
        <f>Inputs!D26</f>
        <v>134</v>
      </c>
      <c r="E8" s="10">
        <f>Inputs!E26</f>
        <v>142</v>
      </c>
      <c r="F8" s="10">
        <f>Inputs!F26</f>
        <v>150</v>
      </c>
      <c r="G8" s="10">
        <f>Inputs!G26</f>
        <v>466</v>
      </c>
      <c r="H8" s="10">
        <f>Inputs!H26</f>
        <v>600</v>
      </c>
    </row>
    <row r="9" spans="1:9" ht="18" customHeight="1" x14ac:dyDescent="0.3">
      <c r="A9" s="19" t="s">
        <v>161</v>
      </c>
      <c r="B9" s="20"/>
      <c r="C9" s="21">
        <f t="shared" ref="C9:H9" si="1">C6-C7-C8</f>
        <v>1616.8282138794084</v>
      </c>
      <c r="D9" s="21">
        <f t="shared" si="1"/>
        <v>1867.3663177925782</v>
      </c>
      <c r="E9" s="21">
        <f t="shared" si="1"/>
        <v>2083.1490787269681</v>
      </c>
      <c r="F9" s="21">
        <f t="shared" si="1"/>
        <v>2272.8148148148148</v>
      </c>
      <c r="G9" s="21">
        <f t="shared" si="1"/>
        <v>2137.8232931726907</v>
      </c>
      <c r="H9" s="21">
        <f t="shared" si="1"/>
        <v>2157.037783375315</v>
      </c>
    </row>
    <row r="10" spans="1:9" ht="18" customHeight="1" x14ac:dyDescent="0.3">
      <c r="A10" s="6" t="s">
        <v>162</v>
      </c>
      <c r="C10" s="10">
        <f>Debt_Schedule!C5</f>
        <v>1448</v>
      </c>
      <c r="D10" s="10">
        <f>Debt_Schedule!D5</f>
        <v>1702</v>
      </c>
      <c r="E10" s="10">
        <f>Debt_Schedule!E5</f>
        <v>1920</v>
      </c>
      <c r="F10" s="10">
        <f>Debt_Schedule!F5</f>
        <v>930</v>
      </c>
      <c r="G10" s="10">
        <f>Debt_Schedule!G5</f>
        <v>0</v>
      </c>
      <c r="H10" s="10">
        <f>Debt_Schedule!H5</f>
        <v>0</v>
      </c>
    </row>
    <row r="11" spans="1:9" ht="18" customHeight="1" x14ac:dyDescent="0.3">
      <c r="A11" s="6" t="s">
        <v>119</v>
      </c>
      <c r="C11" s="10">
        <f>Debt_Schedule!C14</f>
        <v>0</v>
      </c>
      <c r="D11" s="10">
        <f>Debt_Schedule!D14</f>
        <v>0</v>
      </c>
      <c r="E11" s="10">
        <f>Debt_Schedule!E14</f>
        <v>0</v>
      </c>
      <c r="F11" s="10">
        <f>Debt_Schedule!F14</f>
        <v>1184</v>
      </c>
      <c r="G11" s="10">
        <f>Debt_Schedule!G14</f>
        <v>4766</v>
      </c>
      <c r="H11" s="10">
        <f>Debt_Schedule!H14</f>
        <v>0</v>
      </c>
    </row>
    <row r="12" spans="1:9" ht="18" customHeight="1" x14ac:dyDescent="0.3">
      <c r="A12" s="6" t="s">
        <v>120</v>
      </c>
      <c r="C12" s="10">
        <f>Debt_Schedule!C19</f>
        <v>0</v>
      </c>
      <c r="D12" s="10">
        <f>Debt_Schedule!D19</f>
        <v>0</v>
      </c>
      <c r="E12" s="10">
        <f>Debt_Schedule!E19</f>
        <v>0</v>
      </c>
      <c r="F12" s="10">
        <f>Debt_Schedule!F19</f>
        <v>0</v>
      </c>
      <c r="G12" s="10">
        <f>Debt_Schedule!G19</f>
        <v>0</v>
      </c>
      <c r="H12" s="10">
        <f>Debt_Schedule!H19</f>
        <v>0</v>
      </c>
    </row>
    <row r="13" spans="1:9" ht="18" customHeight="1" x14ac:dyDescent="0.3">
      <c r="A13" s="6" t="s">
        <v>163</v>
      </c>
      <c r="C13" s="10">
        <f>Debt_Schedule!C9</f>
        <v>0</v>
      </c>
      <c r="D13" s="10">
        <f>Debt_Schedule!D9</f>
        <v>0</v>
      </c>
      <c r="E13" s="10">
        <f>Debt_Schedule!E9</f>
        <v>0</v>
      </c>
      <c r="F13" s="10">
        <f>Debt_Schedule!F9</f>
        <v>0</v>
      </c>
      <c r="G13" s="10">
        <f>Debt_Schedule!G9</f>
        <v>2800</v>
      </c>
      <c r="H13" s="10">
        <f>Debt_Schedule!H9</f>
        <v>0</v>
      </c>
    </row>
    <row r="14" spans="1:9" ht="18" customHeight="1" x14ac:dyDescent="0.3">
      <c r="A14" s="6" t="s">
        <v>122</v>
      </c>
      <c r="C14" s="10">
        <f>Debt_Schedule!C10</f>
        <v>0</v>
      </c>
      <c r="D14" s="10">
        <f>Debt_Schedule!D10</f>
        <v>0</v>
      </c>
      <c r="E14" s="10">
        <f>Debt_Schedule!E10</f>
        <v>0</v>
      </c>
      <c r="F14" s="10">
        <f>Debt_Schedule!F10</f>
        <v>0</v>
      </c>
      <c r="G14" s="10">
        <f>Debt_Schedule!G10</f>
        <v>0</v>
      </c>
      <c r="H14" s="10">
        <f>Debt_Schedule!H10</f>
        <v>2002</v>
      </c>
    </row>
    <row r="15" spans="1:9" ht="18" customHeight="1" x14ac:dyDescent="0.3">
      <c r="A15" s="19" t="s">
        <v>164</v>
      </c>
      <c r="B15" s="20"/>
      <c r="C15" s="21">
        <f t="shared" ref="C15:H15" si="2">C9-C10-C11-C12+C13-C14</f>
        <v>168.82821387940839</v>
      </c>
      <c r="D15" s="21">
        <f t="shared" si="2"/>
        <v>165.36631779257823</v>
      </c>
      <c r="E15" s="21">
        <f t="shared" si="2"/>
        <v>163.14907872696813</v>
      </c>
      <c r="F15" s="21">
        <f t="shared" si="2"/>
        <v>158.81481481481478</v>
      </c>
      <c r="G15" s="21">
        <f t="shared" si="2"/>
        <v>171.82329317269068</v>
      </c>
      <c r="H15" s="21">
        <f t="shared" si="2"/>
        <v>155.03778337531503</v>
      </c>
    </row>
    <row r="16" spans="1:9" ht="18" customHeight="1" x14ac:dyDescent="0.3">
      <c r="A16" s="6" t="s">
        <v>165</v>
      </c>
      <c r="C16" s="10">
        <f>Inputs!E4-Inputs!B9</f>
        <v>4262</v>
      </c>
      <c r="D16" s="10">
        <f>C17</f>
        <v>4430.8282138794084</v>
      </c>
      <c r="E16" s="10">
        <f>D17</f>
        <v>4596.1945316719866</v>
      </c>
      <c r="F16" s="10">
        <f>E17</f>
        <v>4759.3436103989552</v>
      </c>
      <c r="G16" s="10">
        <f>F17</f>
        <v>4918.15842521377</v>
      </c>
      <c r="H16" s="10">
        <f>G17</f>
        <v>5089.9817183864607</v>
      </c>
    </row>
    <row r="17" spans="1:8" ht="18" customHeight="1" x14ac:dyDescent="0.3">
      <c r="A17" s="19" t="s">
        <v>166</v>
      </c>
      <c r="B17" s="20"/>
      <c r="C17" s="21">
        <f t="shared" ref="C17:H17" si="3">C16+C15</f>
        <v>4430.8282138794084</v>
      </c>
      <c r="D17" s="21">
        <f t="shared" si="3"/>
        <v>4596.1945316719866</v>
      </c>
      <c r="E17" s="21">
        <f t="shared" si="3"/>
        <v>4759.3436103989552</v>
      </c>
      <c r="F17" s="21">
        <f t="shared" si="3"/>
        <v>4918.15842521377</v>
      </c>
      <c r="G17" s="21">
        <f t="shared" si="3"/>
        <v>5089.9817183864607</v>
      </c>
      <c r="H17" s="21">
        <f t="shared" si="3"/>
        <v>5245.0195017617752</v>
      </c>
    </row>
  </sheetData>
  <mergeCells count="1">
    <mergeCell ref="A1:I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D6AAC-04F3-4697-9AAC-6AE892CDE284}">
  <dimension ref="A1:I18"/>
  <sheetViews>
    <sheetView showGridLines="0" workbookViewId="0" tabSelected="0">
      <selection sqref="A1:I1"/>
    </sheetView>
  </sheetViews>
  <sheetFormatPr defaultRowHeight="14.4" x14ac:dyDescent="0.3"/>
  <cols>
    <col min="1" max="1" width="30" customWidth="1"/>
    <col min="2" max="8" width="13" customWidth="1"/>
  </cols>
  <sheetData>
    <row r="1" spans="1:9" ht="18" customHeight="1" x14ac:dyDescent="0.3">
      <c r="A1" s="48" t="s">
        <v>167</v>
      </c>
      <c r="B1" s="49"/>
      <c r="C1" s="49"/>
      <c r="D1" s="49"/>
      <c r="E1" s="49"/>
      <c r="F1" s="49"/>
      <c r="G1" s="49"/>
      <c r="H1" s="49"/>
      <c r="I1" s="49"/>
    </row>
    <row r="2" spans="1:9" ht="18" customHeight="1" x14ac:dyDescent="0.3"/>
    <row r="3" spans="1:9" ht="18" customHeight="1" x14ac:dyDescent="0.3">
      <c r="B3" s="22" t="s">
        <v>168</v>
      </c>
      <c r="C3" s="14">
        <v>1985</v>
      </c>
      <c r="D3" s="14">
        <v>1986</v>
      </c>
      <c r="E3" s="14">
        <v>1987</v>
      </c>
      <c r="F3" s="14">
        <v>1988</v>
      </c>
      <c r="G3" s="14">
        <v>1989</v>
      </c>
      <c r="H3" s="14">
        <v>1990</v>
      </c>
    </row>
    <row r="4" spans="1:9" ht="18" customHeight="1" x14ac:dyDescent="0.3">
      <c r="A4" s="6" t="s">
        <v>55</v>
      </c>
      <c r="B4" s="10">
        <f>Inputs!E4-Inputs!B9</f>
        <v>4262</v>
      </c>
      <c r="C4" s="10">
        <f>Cash_Flow!C17</f>
        <v>4430.8282138794084</v>
      </c>
      <c r="D4" s="10">
        <f>Cash_Flow!D17</f>
        <v>4596.1945316719866</v>
      </c>
      <c r="E4" s="10">
        <f>Cash_Flow!E17</f>
        <v>4759.3436103989552</v>
      </c>
      <c r="F4" s="10">
        <f>Cash_Flow!F17</f>
        <v>4918.15842521377</v>
      </c>
      <c r="G4" s="10">
        <f>Cash_Flow!G17</f>
        <v>5089.9817183864607</v>
      </c>
      <c r="H4" s="10">
        <f>Cash_Flow!H17</f>
        <v>5245.0195017617752</v>
      </c>
    </row>
    <row r="5" spans="1:9" ht="18" customHeight="1" x14ac:dyDescent="0.3">
      <c r="A5" s="6" t="s">
        <v>169</v>
      </c>
      <c r="B5" s="10">
        <f>Inputs!E9</f>
        <v>1970</v>
      </c>
      <c r="C5" s="10">
        <f>Inputs!E9+SUM(Inputs!$C$25:C25)</f>
        <v>2126</v>
      </c>
      <c r="D5" s="10">
        <f>Inputs!E9+SUM(Inputs!$C$25:D25)</f>
        <v>2288</v>
      </c>
      <c r="E5" s="10">
        <f>Inputs!E9+SUM(Inputs!$C$25:E25)</f>
        <v>2458</v>
      </c>
      <c r="F5" s="10">
        <f>Inputs!E9+SUM(Inputs!$C$25:F25)</f>
        <v>2638</v>
      </c>
      <c r="G5" s="10">
        <f>Inputs!E9+SUM(Inputs!$C$25:G25)</f>
        <v>2828</v>
      </c>
      <c r="H5" s="10">
        <f>Inputs!E9+SUM(Inputs!$C$25:H25)</f>
        <v>3028</v>
      </c>
    </row>
    <row r="6" spans="1:9" ht="18" customHeight="1" x14ac:dyDescent="0.3">
      <c r="A6" s="6" t="s">
        <v>170</v>
      </c>
      <c r="B6" s="10">
        <f>Inputs!E10</f>
        <v>2110</v>
      </c>
      <c r="C6" s="10">
        <f>Inputs!E10+SUM(Inputs!$C$26:C26)-SUM(Inputs!$C$24:C24)</f>
        <v>1990</v>
      </c>
      <c r="D6" s="10">
        <f>Inputs!E10+SUM(Inputs!$C$26:D26)-SUM(Inputs!$C$24:D24)</f>
        <v>1864</v>
      </c>
      <c r="E6" s="10">
        <f>Inputs!E10+SUM(Inputs!$C$26:E26)-SUM(Inputs!$C$24:E24)</f>
        <v>1722</v>
      </c>
      <c r="F6" s="10">
        <f>Inputs!E10+SUM(Inputs!$C$26:F26)-SUM(Inputs!$C$24:F24)</f>
        <v>1572</v>
      </c>
      <c r="G6" s="10">
        <f>Inputs!E10+SUM(Inputs!$C$26:G26)-SUM(Inputs!$C$24:G24)</f>
        <v>1728</v>
      </c>
      <c r="H6" s="10">
        <f>Inputs!E10+SUM(Inputs!$C$26:H26)-SUM(Inputs!$C$24:H24)</f>
        <v>1988</v>
      </c>
    </row>
    <row r="7" spans="1:9" ht="18" customHeight="1" x14ac:dyDescent="0.3">
      <c r="A7" s="6" t="s">
        <v>102</v>
      </c>
      <c r="B7" s="10">
        <f>Inputs!E11</f>
        <v>74</v>
      </c>
      <c r="C7" s="10">
        <f>Inputs!E11</f>
        <v>74</v>
      </c>
      <c r="D7" s="10">
        <f>Inputs!E11</f>
        <v>74</v>
      </c>
      <c r="E7" s="10">
        <f>Inputs!E11</f>
        <v>74</v>
      </c>
      <c r="F7" s="10">
        <f>Inputs!E11</f>
        <v>74</v>
      </c>
      <c r="G7" s="10">
        <f>Inputs!E11</f>
        <v>74</v>
      </c>
      <c r="H7" s="10">
        <f>Inputs!E11</f>
        <v>74</v>
      </c>
    </row>
    <row r="8" spans="1:9" ht="18" customHeight="1" x14ac:dyDescent="0.3">
      <c r="A8" s="6" t="s">
        <v>171</v>
      </c>
      <c r="B8" s="10">
        <f>Inputs!E13</f>
        <v>10084</v>
      </c>
      <c r="C8" s="10">
        <f>Inputs!E13</f>
        <v>10084</v>
      </c>
      <c r="D8" s="10">
        <f>Inputs!E13</f>
        <v>10084</v>
      </c>
      <c r="E8" s="10">
        <f>Inputs!E13</f>
        <v>10084</v>
      </c>
      <c r="F8" s="10">
        <f>Inputs!E13</f>
        <v>10084</v>
      </c>
      <c r="G8" s="10">
        <f>Inputs!E13</f>
        <v>10084</v>
      </c>
      <c r="H8" s="10">
        <f>Inputs!E13</f>
        <v>10084</v>
      </c>
    </row>
    <row r="9" spans="1:9" ht="18" customHeight="1" x14ac:dyDescent="0.3">
      <c r="A9" s="19" t="s">
        <v>39</v>
      </c>
      <c r="B9" s="17">
        <f t="shared" ref="B9:H9" si="0">SUM(B4:B8)</f>
        <v>18500</v>
      </c>
      <c r="C9" s="17">
        <f t="shared" si="0"/>
        <v>18704.828213879409</v>
      </c>
      <c r="D9" s="17">
        <f t="shared" si="0"/>
        <v>18906.194531671987</v>
      </c>
      <c r="E9" s="17">
        <f t="shared" si="0"/>
        <v>19097.343610398955</v>
      </c>
      <c r="F9" s="17">
        <f t="shared" si="0"/>
        <v>19286.158425213769</v>
      </c>
      <c r="G9" s="17">
        <f t="shared" si="0"/>
        <v>19803.981718386462</v>
      </c>
      <c r="H9" s="17">
        <f t="shared" si="0"/>
        <v>20419.019501761773</v>
      </c>
    </row>
    <row r="10" spans="1:9" ht="18" customHeight="1" x14ac:dyDescent="0.3"/>
    <row r="11" spans="1:9" ht="18" customHeight="1" x14ac:dyDescent="0.3">
      <c r="A11" s="6" t="s">
        <v>172</v>
      </c>
      <c r="B11" s="10">
        <f>Inputs!B6</f>
        <v>6000</v>
      </c>
      <c r="C11" s="10">
        <f>Debt_Schedule!C6</f>
        <v>4552</v>
      </c>
      <c r="D11" s="10">
        <f>Debt_Schedule!D6</f>
        <v>2850</v>
      </c>
      <c r="E11" s="10">
        <f>Debt_Schedule!E6</f>
        <v>930</v>
      </c>
      <c r="F11" s="10">
        <f>Debt_Schedule!F6</f>
        <v>0</v>
      </c>
      <c r="G11" s="10">
        <f>Debt_Schedule!G6</f>
        <v>0</v>
      </c>
      <c r="H11" s="10">
        <f>Debt_Schedule!H6</f>
        <v>0</v>
      </c>
    </row>
    <row r="12" spans="1:9" ht="18" customHeight="1" x14ac:dyDescent="0.3">
      <c r="A12" s="6" t="s">
        <v>173</v>
      </c>
      <c r="B12" s="10" t="s">
        <v>138</v>
      </c>
      <c r="C12" s="10">
        <f>Debt_Schedule!C11</f>
        <v>0</v>
      </c>
      <c r="D12" s="10">
        <f>Debt_Schedule!D11</f>
        <v>0</v>
      </c>
      <c r="E12" s="10">
        <f>Debt_Schedule!E11</f>
        <v>0</v>
      </c>
      <c r="F12" s="10">
        <f>Debt_Schedule!F11</f>
        <v>0</v>
      </c>
      <c r="G12" s="10">
        <f>Debt_Schedule!G11</f>
        <v>2800</v>
      </c>
      <c r="H12" s="10">
        <f>Debt_Schedule!H11</f>
        <v>798</v>
      </c>
    </row>
    <row r="13" spans="1:9" ht="18" customHeight="1" x14ac:dyDescent="0.3">
      <c r="A13" s="6" t="s">
        <v>129</v>
      </c>
      <c r="B13" s="10">
        <f>Inputs!B7</f>
        <v>6000</v>
      </c>
      <c r="C13" s="10">
        <f>Debt_Schedule!C20</f>
        <v>6000</v>
      </c>
      <c r="D13" s="10">
        <f>Debt_Schedule!D20</f>
        <v>6000</v>
      </c>
      <c r="E13" s="10">
        <f>Debt_Schedule!E20</f>
        <v>6000</v>
      </c>
      <c r="F13" s="10">
        <f>Debt_Schedule!F20</f>
        <v>6000</v>
      </c>
      <c r="G13" s="10">
        <f>Debt_Schedule!G20</f>
        <v>6000</v>
      </c>
      <c r="H13" s="10">
        <f>Debt_Schedule!H20</f>
        <v>6000</v>
      </c>
    </row>
    <row r="14" spans="1:9" ht="18" customHeight="1" x14ac:dyDescent="0.3">
      <c r="A14" s="6" t="s">
        <v>130</v>
      </c>
      <c r="B14" s="10">
        <f>Inputs!B8</f>
        <v>6000</v>
      </c>
      <c r="C14" s="10">
        <f>Debt_Schedule!C16</f>
        <v>6000</v>
      </c>
      <c r="D14" s="10">
        <f>Debt_Schedule!D16</f>
        <v>6000</v>
      </c>
      <c r="E14" s="10">
        <f>Debt_Schedule!E16</f>
        <v>6000</v>
      </c>
      <c r="F14" s="10">
        <f>Debt_Schedule!F16</f>
        <v>4766.6666666666661</v>
      </c>
      <c r="G14" s="10">
        <f>Debt_Schedule!G16</f>
        <v>0</v>
      </c>
      <c r="H14" s="10">
        <f>Debt_Schedule!H16</f>
        <v>0</v>
      </c>
    </row>
    <row r="15" spans="1:9" ht="18" customHeight="1" x14ac:dyDescent="0.3">
      <c r="A15" s="19" t="s">
        <v>149</v>
      </c>
      <c r="B15" s="17">
        <f t="shared" ref="B15:H15" si="1">SUM(B11:B14)</f>
        <v>18000</v>
      </c>
      <c r="C15" s="17">
        <f t="shared" si="1"/>
        <v>16552</v>
      </c>
      <c r="D15" s="17">
        <f t="shared" si="1"/>
        <v>14850</v>
      </c>
      <c r="E15" s="17">
        <f t="shared" si="1"/>
        <v>12930</v>
      </c>
      <c r="F15" s="17">
        <f t="shared" si="1"/>
        <v>10766.666666666666</v>
      </c>
      <c r="G15" s="17">
        <f t="shared" si="1"/>
        <v>8800</v>
      </c>
      <c r="H15" s="17">
        <f t="shared" si="1"/>
        <v>6798</v>
      </c>
    </row>
    <row r="16" spans="1:9" ht="18" customHeight="1" x14ac:dyDescent="0.3">
      <c r="A16" s="6" t="s">
        <v>174</v>
      </c>
      <c r="B16" s="23">
        <f>Inputs!B5</f>
        <v>500</v>
      </c>
      <c r="C16" s="23">
        <f t="shared" ref="C16:H16" si="2">C9-C15</f>
        <v>2152.8282138794093</v>
      </c>
      <c r="D16" s="23">
        <f t="shared" si="2"/>
        <v>4056.1945316719866</v>
      </c>
      <c r="E16" s="23">
        <f t="shared" si="2"/>
        <v>6167.3436103989552</v>
      </c>
      <c r="F16" s="23">
        <f t="shared" si="2"/>
        <v>8519.491758547103</v>
      </c>
      <c r="G16" s="23">
        <f t="shared" si="2"/>
        <v>11003.981718386462</v>
      </c>
      <c r="H16" s="23">
        <f t="shared" si="2"/>
        <v>13621.019501761773</v>
      </c>
    </row>
    <row r="17" spans="1:8" ht="18" customHeight="1" x14ac:dyDescent="0.3">
      <c r="A17" s="19" t="s">
        <v>175</v>
      </c>
      <c r="B17" s="17">
        <f t="shared" ref="B17:H17" si="3">SUM(B15:B16)</f>
        <v>18500</v>
      </c>
      <c r="C17" s="17">
        <f t="shared" si="3"/>
        <v>18704.828213879409</v>
      </c>
      <c r="D17" s="17">
        <f t="shared" si="3"/>
        <v>18906.194531671987</v>
      </c>
      <c r="E17" s="17">
        <f t="shared" si="3"/>
        <v>19097.343610398955</v>
      </c>
      <c r="F17" s="17">
        <f t="shared" si="3"/>
        <v>19286.158425213769</v>
      </c>
      <c r="G17" s="17">
        <f t="shared" si="3"/>
        <v>19803.981718386462</v>
      </c>
      <c r="H17" s="17">
        <f t="shared" si="3"/>
        <v>20419.019501761773</v>
      </c>
    </row>
    <row r="18" spans="1:8" ht="18" customHeight="1" x14ac:dyDescent="0.3">
      <c r="A18" s="19" t="s">
        <v>132</v>
      </c>
      <c r="B18" s="18">
        <f t="shared" ref="B18:H18" si="4">B9-B17</f>
        <v>0</v>
      </c>
      <c r="C18" s="18">
        <f t="shared" si="4"/>
        <v>0</v>
      </c>
      <c r="D18" s="18">
        <f t="shared" si="4"/>
        <v>0</v>
      </c>
      <c r="E18" s="18">
        <f t="shared" si="4"/>
        <v>0</v>
      </c>
      <c r="F18" s="18">
        <f t="shared" si="4"/>
        <v>0</v>
      </c>
      <c r="G18" s="18">
        <f t="shared" si="4"/>
        <v>0</v>
      </c>
      <c r="H18" s="18">
        <f t="shared" si="4"/>
        <v>0</v>
      </c>
    </row>
  </sheetData>
  <mergeCells count="1">
    <mergeCell ref="A1: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259D7-59F4-4939-856D-F75753DBA58B}">
  <dimension ref="A1:K20"/>
  <sheetViews>
    <sheetView showGridLines="0" workbookViewId="0" tabSelected="0">
      <selection sqref="A1:H1"/>
    </sheetView>
  </sheetViews>
  <sheetFormatPr defaultRowHeight="14.4" x14ac:dyDescent="0.3"/>
  <cols>
    <col min="1" max="1" width="24" customWidth="1"/>
    <col min="2" max="2" width="14" customWidth="1"/>
    <col min="4" max="4" width="24" customWidth="1"/>
    <col min="5" max="5" width="14" customWidth="1"/>
    <col min="6" max="9" width="12" customWidth="1"/>
    <col min="10" max="10" width="14" customWidth="1"/>
    <col min="11" max="11" width="16" customWidth="1"/>
  </cols>
  <sheetData>
    <row r="1" spans="1:8" ht="18" customHeight="1" x14ac:dyDescent="0.3">
      <c r="A1" s="48" t="s">
        <v>176</v>
      </c>
      <c r="B1" s="49"/>
      <c r="C1" s="49"/>
      <c r="D1" s="49"/>
      <c r="E1" s="49"/>
      <c r="F1" s="49"/>
      <c r="G1" s="49"/>
      <c r="H1" s="49"/>
    </row>
    <row r="2" spans="1:8" ht="18" customHeight="1" x14ac:dyDescent="0.3"/>
    <row r="3" spans="1:8" ht="18" customHeight="1" x14ac:dyDescent="0.3">
      <c r="A3" s="1" t="s">
        <v>177</v>
      </c>
      <c r="D3" s="1" t="s">
        <v>178</v>
      </c>
    </row>
    <row r="4" spans="1:8" ht="18" customHeight="1" x14ac:dyDescent="0.3">
      <c r="A4" t="s">
        <v>179</v>
      </c>
      <c r="B4" s="24">
        <f>500000</f>
        <v>500000</v>
      </c>
      <c r="D4" t="s">
        <v>180</v>
      </c>
      <c r="E4" s="10">
        <f>Income_Statement!H7</f>
        <v>4176</v>
      </c>
    </row>
    <row r="5" spans="1:8" ht="18" customHeight="1" x14ac:dyDescent="0.3">
      <c r="A5" t="s">
        <v>181</v>
      </c>
      <c r="B5" s="24">
        <f>Inputs!B11</f>
        <v>350000</v>
      </c>
      <c r="D5" t="s">
        <v>182</v>
      </c>
      <c r="E5" s="10">
        <f>Cash_Flow!H5</f>
        <v>340</v>
      </c>
    </row>
    <row r="6" spans="1:8" ht="18" customHeight="1" x14ac:dyDescent="0.3">
      <c r="A6" t="s">
        <v>183</v>
      </c>
      <c r="B6" s="25">
        <f>SUM(B4:B5)</f>
        <v>850000</v>
      </c>
      <c r="D6" t="s">
        <v>184</v>
      </c>
      <c r="E6" s="23">
        <f>SUM(E4:E5)</f>
        <v>4516</v>
      </c>
    </row>
    <row r="7" spans="1:8" ht="18" customHeight="1" x14ac:dyDescent="0.3">
      <c r="A7" t="s">
        <v>185</v>
      </c>
      <c r="B7" s="26">
        <f>B4/B6</f>
        <v>0.58823529411764708</v>
      </c>
      <c r="D7" t="s">
        <v>103</v>
      </c>
      <c r="E7" s="27">
        <f>Inputs!B12</f>
        <v>6</v>
      </c>
    </row>
    <row r="8" spans="1:8" ht="18" customHeight="1" x14ac:dyDescent="0.3">
      <c r="A8" t="s">
        <v>186</v>
      </c>
      <c r="B8" s="26">
        <f>B5/B6</f>
        <v>0.41176470588235292</v>
      </c>
      <c r="D8" t="s">
        <v>187</v>
      </c>
      <c r="E8" s="23">
        <f>E6*E7</f>
        <v>27096</v>
      </c>
    </row>
    <row r="9" spans="1:8" ht="18" customHeight="1" x14ac:dyDescent="0.3">
      <c r="D9" t="s">
        <v>188</v>
      </c>
      <c r="E9" s="10">
        <f>Balance_Sheet!H15</f>
        <v>6798</v>
      </c>
    </row>
    <row r="10" spans="1:8" ht="18" customHeight="1" x14ac:dyDescent="0.3">
      <c r="D10" t="s">
        <v>189</v>
      </c>
      <c r="E10" s="10">
        <f>Balance_Sheet!H4</f>
        <v>5245.0195017617752</v>
      </c>
    </row>
    <row r="11" spans="1:8" ht="18" customHeight="1" x14ac:dyDescent="0.3">
      <c r="D11" t="s">
        <v>190</v>
      </c>
      <c r="E11" s="23">
        <f>E8-E9+E10</f>
        <v>25543.019501761773</v>
      </c>
    </row>
    <row r="12" spans="1:8" ht="18" customHeight="1" x14ac:dyDescent="0.3">
      <c r="D12" t="s">
        <v>191</v>
      </c>
      <c r="E12" s="23">
        <f>E11*B7</f>
        <v>15025.305589271631</v>
      </c>
    </row>
    <row r="13" spans="1:8" ht="18" customHeight="1" x14ac:dyDescent="0.3">
      <c r="D13" t="s">
        <v>192</v>
      </c>
      <c r="E13" s="28">
        <f>E12/Inputs!B5</f>
        <v>30.050611178543264</v>
      </c>
    </row>
    <row r="14" spans="1:8" ht="18" customHeight="1" x14ac:dyDescent="0.3"/>
    <row r="15" spans="1:8" ht="18" customHeight="1" x14ac:dyDescent="0.3">
      <c r="D15" t="s">
        <v>193</v>
      </c>
      <c r="E15" s="23">
        <f>E11*B8</f>
        <v>10517.713912490142</v>
      </c>
    </row>
    <row r="16" spans="1:8" ht="18" customHeight="1" x14ac:dyDescent="0.3">
      <c r="D16" t="s">
        <v>194</v>
      </c>
      <c r="E16" s="10">
        <f>Balance_Sheet!H13</f>
        <v>6000</v>
      </c>
    </row>
    <row r="17" spans="4:11" ht="18" customHeight="1" x14ac:dyDescent="0.3">
      <c r="D17" t="s">
        <v>195</v>
      </c>
      <c r="E17" s="10">
        <f>Inputs!B7*9%</f>
        <v>540</v>
      </c>
    </row>
    <row r="18" spans="4:11" ht="18" customHeight="1" x14ac:dyDescent="0.3">
      <c r="D18" t="s">
        <v>196</v>
      </c>
      <c r="E18" s="26">
        <f>IRR(E20:K20)</f>
        <v>0.24690753529267395</v>
      </c>
    </row>
    <row r="19" spans="4:11" ht="18" customHeight="1" x14ac:dyDescent="0.3">
      <c r="E19" s="29" t="s">
        <v>197</v>
      </c>
      <c r="F19" s="29" t="s">
        <v>198</v>
      </c>
      <c r="G19" s="29" t="s">
        <v>199</v>
      </c>
      <c r="H19" s="29" t="s">
        <v>200</v>
      </c>
      <c r="I19" s="29" t="s">
        <v>201</v>
      </c>
      <c r="J19" s="31" t="s">
        <v>202</v>
      </c>
      <c r="K19" s="31" t="s">
        <v>203</v>
      </c>
    </row>
    <row r="20" spans="4:11" ht="18" customHeight="1" x14ac:dyDescent="0.3">
      <c r="D20" s="1" t="s">
        <v>204</v>
      </c>
      <c r="E20" s="7">
        <v>-6000</v>
      </c>
      <c r="F20" s="10">
        <f>E17</f>
        <v>540</v>
      </c>
      <c r="G20" s="10">
        <f>E17</f>
        <v>540</v>
      </c>
      <c r="H20" s="10">
        <f>E17</f>
        <v>540</v>
      </c>
      <c r="I20" s="10">
        <f>E17</f>
        <v>540</v>
      </c>
      <c r="J20" s="10">
        <f>E17</f>
        <v>540</v>
      </c>
      <c r="K20" s="23">
        <f>E17+E15+E16</f>
        <v>17057.713912490144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Buyout Summary</vt:lpstr>
      <vt:lpstr>README</vt:lpstr>
      <vt:lpstr>Raw_Case_Data</vt:lpstr>
      <vt:lpstr>Inputs</vt:lpstr>
      <vt:lpstr>Sources_Uses</vt:lpstr>
      <vt:lpstr>Debt_Schedule</vt:lpstr>
      <vt:lpstr>Income_Statement</vt:lpstr>
      <vt:lpstr>Cash_Flow</vt:lpstr>
      <vt:lpstr>Balance_Sheet</vt:lpstr>
      <vt:lpstr>Returns_Analysis</vt:lpstr>
      <vt:lpstr>'Buyout Summary'!Print_Area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Eshan Mukherjee</dc:creator>
  <cp:lastModifiedBy>Eshan Mukherjee</cp:lastModifiedBy>
  <cp:lastPrinted>2026-10-06T22:06:08Z</cp:lastPrinted>
  <dcterms:created xsi:type="dcterms:W3CDTF">2026-04-19T19:22:38Z</dcterms:created>
  <dcterms:modified xsi:type="dcterms:W3CDTF">2026-10-06T22:06:09Z</dcterms:modified>
</cp:coreProperties>
</file>