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8fee9006121b51b1/Desktop/Emory Fix Inc^0 Credit Market/"/>
    </mc:Choice>
  </mc:AlternateContent>
  <xr:revisionPtr revIDLastSave="176" documentId="8_{E14DAB41-0C50-4252-927C-4455A18A31A0}" xr6:coauthVersionLast="47" xr6:coauthVersionMax="47" xr10:uidLastSave="{545B9A3C-53A7-4BFA-95DD-4F55E95AEAAB}"/>
  <bookViews>
    <workbookView xWindow="-96" yWindow="0" windowWidth="11712" windowHeight="13776" xr2:uid="{00000000-000D-0000-FFFF-FFFF00000000}"/>
  </bookViews>
  <sheets>
    <sheet name="Q1" sheetId="1" r:id="rId1"/>
    <sheet name="Q2" sheetId="2" r:id="rId2"/>
    <sheet name="Q3" sheetId="3" r:id="rId3"/>
    <sheet name="Q4" sheetId="4" r:id="rId4"/>
    <sheet name="Q5" sheetId="5" r:id="rId5"/>
    <sheet name="Q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1" l="1"/>
  <c r="C53" i="1"/>
  <c r="B53" i="1"/>
  <c r="B48" i="1"/>
  <c r="D49" i="1"/>
  <c r="D55" i="1" s="1"/>
  <c r="D48" i="1"/>
  <c r="C49" i="1"/>
  <c r="C55" i="1" s="1"/>
  <c r="C48" i="1"/>
  <c r="B49" i="1"/>
  <c r="B54" i="1"/>
  <c r="B59" i="1" s="1"/>
  <c r="E59" i="1" s="1"/>
  <c r="A55" i="1"/>
  <c r="A54" i="1"/>
  <c r="B22" i="1"/>
  <c r="B23" i="1" s="1"/>
  <c r="B24" i="1" s="1"/>
  <c r="C5" i="1"/>
  <c r="B11" i="1" s="1"/>
  <c r="D11" i="1" s="1"/>
  <c r="E11" i="1" s="1"/>
  <c r="C4" i="1"/>
  <c r="B10" i="1" s="1"/>
  <c r="D10" i="1" s="1"/>
  <c r="E10" i="1" s="1"/>
  <c r="C3" i="1"/>
  <c r="B9" i="1" s="1"/>
  <c r="D9" i="1" s="1"/>
  <c r="E5" i="1"/>
  <c r="E4" i="1"/>
  <c r="E3" i="1"/>
  <c r="B81" i="1"/>
  <c r="B80" i="1"/>
  <c r="B69" i="1"/>
  <c r="B70" i="1" s="1"/>
  <c r="B71" i="1" s="1"/>
  <c r="C54" i="1"/>
  <c r="B42" i="1"/>
  <c r="B34" i="1"/>
  <c r="B10" i="6"/>
  <c r="B12" i="6" s="1"/>
  <c r="B13" i="6" s="1"/>
  <c r="B9" i="6"/>
  <c r="B7" i="5"/>
  <c r="B8" i="5" s="1"/>
  <c r="B9" i="5" s="1"/>
  <c r="D6" i="4"/>
  <c r="D11" i="4" s="1"/>
  <c r="C6" i="4"/>
  <c r="C11" i="4" s="1"/>
  <c r="B6" i="4"/>
  <c r="B11" i="4" s="1"/>
  <c r="D5" i="4"/>
  <c r="D10" i="4" s="1"/>
  <c r="B16" i="4" s="1"/>
  <c r="E16" i="4" s="1"/>
  <c r="C5" i="4"/>
  <c r="C10" i="4" s="1"/>
  <c r="B5" i="4"/>
  <c r="B10" i="4" s="1"/>
  <c r="B15" i="4" s="1"/>
  <c r="E15" i="4" s="1"/>
  <c r="B17" i="3"/>
  <c r="B9" i="3"/>
  <c r="B7" i="2"/>
  <c r="B8" i="2" s="1"/>
  <c r="B9" i="2" s="1"/>
  <c r="D54" i="1" l="1"/>
  <c r="B60" i="1" s="1"/>
  <c r="E60" i="1" s="1"/>
  <c r="E9" i="1"/>
  <c r="B13" i="1" s="1"/>
  <c r="B12" i="1"/>
  <c r="B83" i="1"/>
  <c r="B84" i="1" s="1"/>
  <c r="B14" i="1" l="1"/>
  <c r="B55" i="1" l="1"/>
</calcChain>
</file>

<file path=xl/sharedStrings.xml><?xml version="1.0" encoding="utf-8"?>
<sst xmlns="http://schemas.openxmlformats.org/spreadsheetml/2006/main" count="142" uniqueCount="77">
  <si>
    <t>Question 1: Spot Rates, Forward Rates, Bond Pricing, Duration</t>
  </si>
  <si>
    <t>t</t>
  </si>
  <si>
    <t>Spot Rate</t>
  </si>
  <si>
    <t>Forward Rate</t>
  </si>
  <si>
    <t>Value</t>
  </si>
  <si>
    <t>f12</t>
  </si>
  <si>
    <t>f23</t>
  </si>
  <si>
    <t>f13</t>
  </si>
  <si>
    <t>Cash Flow</t>
  </si>
  <si>
    <t>PV(Ct)</t>
  </si>
  <si>
    <t>t * PV(Ct)</t>
  </si>
  <si>
    <t>Sum(t*PV(Ct))</t>
  </si>
  <si>
    <t>Duration</t>
  </si>
  <si>
    <t>Question 2: Approximate Bond Price Change</t>
  </si>
  <si>
    <t>Bond Price (P)</t>
  </si>
  <si>
    <t>Duration (D)</t>
  </si>
  <si>
    <t>Spot rate (r)</t>
  </si>
  <si>
    <t>Change in rate (dr)</t>
  </si>
  <si>
    <t>Approx % Change in Price</t>
  </si>
  <si>
    <t>Approx Price Change ($)</t>
  </si>
  <si>
    <t>Approx New Price</t>
  </si>
  <si>
    <t>Question 3: Duration Hedging</t>
  </si>
  <si>
    <t>Part 1: Hedge 1-year long</t>
  </si>
  <si>
    <t>Price of 1-year zero (P1)</t>
  </si>
  <si>
    <t>Duration of 1-year zero (D1)</t>
  </si>
  <si>
    <t>Price of 3-year zero (P3)</t>
  </si>
  <si>
    <t>Duration of 3-year zero (D3)</t>
  </si>
  <si>
    <t>Quantity of 1-year zero held (N1)</t>
  </si>
  <si>
    <t>Quantity of 3-year zero required (N3)</t>
  </si>
  <si>
    <t>Part 2: Hedge 3-year long</t>
  </si>
  <si>
    <t>Quantity of 3-year zero held (N3)</t>
  </si>
  <si>
    <t>Quantity of 1-year zero required (N1)</t>
  </si>
  <si>
    <t>Question 4: PSA Prepayment and SMM</t>
  </si>
  <si>
    <t>CPR</t>
  </si>
  <si>
    <t>Month</t>
  </si>
  <si>
    <t>80 PSA</t>
  </si>
  <si>
    <t>100 PSA</t>
  </si>
  <si>
    <t>500 PSA</t>
  </si>
  <si>
    <t>SMM</t>
  </si>
  <si>
    <t>Prepayment Calculation (Month 12)</t>
  </si>
  <si>
    <t>PSA Level</t>
  </si>
  <si>
    <t>Beginning Balance</t>
  </si>
  <si>
    <t>Scheduled Principal</t>
  </si>
  <si>
    <t>Prepayment</t>
  </si>
  <si>
    <t>Question 5: Interest Rate Swap (Dealer Perspective)</t>
  </si>
  <si>
    <t>Notional</t>
  </si>
  <si>
    <t>Fixed Rate Paid (Dealer)</t>
  </si>
  <si>
    <t>SOFR (variable)</t>
  </si>
  <si>
    <t>Spread Received</t>
  </si>
  <si>
    <t>Rate Received (Dealer)</t>
  </si>
  <si>
    <t>Net Rate</t>
  </si>
  <si>
    <t>Net Interest Income ($)</t>
  </si>
  <si>
    <t>Question 6: CMO Tranche Coupon Analysis</t>
  </si>
  <si>
    <t>Primary Par (P_pri)</t>
  </si>
  <si>
    <t>Primary Coupon (c_pri)</t>
  </si>
  <si>
    <t>Floating Par (P_f)</t>
  </si>
  <si>
    <t>Floating Spread (s_f)</t>
  </si>
  <si>
    <t>Inverse Par (P_inv)</t>
  </si>
  <si>
    <t>Coupon Leverage (L)</t>
  </si>
  <si>
    <t>Cap on Inverse (K)</t>
  </si>
  <si>
    <t>Floor on Inverse Coupon</t>
  </si>
  <si>
    <t>SOFR at Floor</t>
  </si>
  <si>
    <t>Cap on Floating Coupon</t>
  </si>
  <si>
    <t>bt</t>
  </si>
  <si>
    <t>bt (Price)</t>
  </si>
  <si>
    <t>Notes</t>
  </si>
  <si>
    <t>Zero Coupon B do not pay coupon</t>
  </si>
  <si>
    <t>Macollay Duration</t>
  </si>
  <si>
    <t>Bond Price (No-arbitrage price)</t>
  </si>
  <si>
    <t>Question 2 and 5: Approximate Bond Price Change</t>
  </si>
  <si>
    <t>QUESTION 6</t>
  </si>
  <si>
    <t>FV</t>
  </si>
  <si>
    <t>IS THIS CORRECT?</t>
  </si>
  <si>
    <t>SMM=Single monthly mort r which shows annualized % of mortage pool expected to be prepaid</t>
  </si>
  <si>
    <t>PSA</t>
  </si>
  <si>
    <t>PSA= Public sec Association= How quickly the borrower will repay</t>
  </si>
  <si>
    <t>Month 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</si>
</sst>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#,##0.000"/>
    <numFmt numFmtId="166" formatCode="0.00000%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1" fillId="0" borderId="1">
      <alignment horizontal="center"/>
    </xf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1" xfId="1">
      <alignment horizontal="center"/>
    </xf>
    <xf numFmtId="10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3" fontId="0" fillId="0" borderId="0" xfId="0" applyNumberFormat="1"/>
    <xf numFmtId="0" fontId="3" fillId="0" borderId="0" xfId="0" applyFont="1"/>
    <xf numFmtId="4" fontId="0" fillId="2" borderId="0" xfId="0" applyNumberFormat="1" applyFill="1"/>
    <xf numFmtId="0" fontId="0" fillId="2" borderId="0" xfId="0" applyFill="1"/>
    <xf numFmtId="2" fontId="0" fillId="2" borderId="0" xfId="0" applyNumberFormat="1" applyFill="1"/>
    <xf numFmtId="10" fontId="0" fillId="2" borderId="0" xfId="0" applyNumberFormat="1" applyFill="1"/>
    <xf numFmtId="9" fontId="0" fillId="2" borderId="0" xfId="2" applyFont="1" applyFill="1"/>
    <xf numFmtId="3" fontId="0" fillId="2" borderId="0" xfId="0" applyNumberFormat="1" applyFill="1"/>
  </cellXfs>
  <cellStyles count="3">
    <cellStyle name="header_style" xfId="1" xr:uid="{00000000-0005-0000-0000-000001000000}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'1.0' encoding='utf-8' standalone='yes'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30481</xdr:colOff>
      <xdr:row>39</xdr:row>
      <xdr:rowOff>45720</xdr:rowOff>
    </xdr:from>
    <xdr:to>
      <xdr:col>4</xdr:col>
      <xdr:colOff>115579</xdr:colOff>
      <xdr:row>42</xdr:row>
      <xdr:rowOff>11608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A6F7F0-BFA1-3525-5E33-7BB989723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9761" y="8275320"/>
          <a:ext cx="1639578" cy="51452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workbookViewId="0">
      <selection activeCell="E15" sqref="E15"/>
    </sheetView>
  </sheetViews>
  <sheetFormatPr defaultRowHeight="14.4" x14ac:dyDescent="0.3"/>
  <cols>
    <col min="1" max="1" width="18.21875" customWidth="1"/>
    <col min="2" max="2" width="11" customWidth="1"/>
    <col min="3" max="3" width="12.6640625" customWidth="1"/>
    <col min="4" max="4" width="10" customWidth="1"/>
    <col min="5" max="5" width="14" customWidth="1"/>
    <col min="6" max="6" width="16.44140625" bestFit="1" customWidth="1"/>
    <col min="7" max="7" width="9.6640625" customWidth="1"/>
    <col min="8" max="8" width="7.6640625" customWidth="1"/>
  </cols>
  <sheetData>
    <row r="1" spans="1:6" x14ac:dyDescent="0.3">
      <c r="A1" s="1" t="s">
        <v>0</v>
      </c>
    </row>
    <row r="2" spans="1:6" x14ac:dyDescent="0.3">
      <c r="A2" s="2" t="s">
        <v>1</v>
      </c>
      <c r="B2" s="2" t="s">
        <v>2</v>
      </c>
      <c r="C2" s="2" t="s">
        <v>64</v>
      </c>
      <c r="D2" s="2" t="s">
        <v>3</v>
      </c>
      <c r="E2" s="2" t="s">
        <v>4</v>
      </c>
      <c r="F2" s="2" t="s">
        <v>65</v>
      </c>
    </row>
    <row r="3" spans="1:6" x14ac:dyDescent="0.3">
      <c r="A3" s="12">
        <v>1</v>
      </c>
      <c r="B3" s="3">
        <v>0.03</v>
      </c>
      <c r="C3" s="4">
        <f>1/(1+B3)^A3</f>
        <v>0.970873786407767</v>
      </c>
      <c r="D3" s="12" t="s">
        <v>5</v>
      </c>
      <c r="E3" s="3">
        <f>(((1+B4)^2)/(1+B3))-1</f>
        <v>7.0388349514563187E-2</v>
      </c>
      <c r="F3" t="s">
        <v>66</v>
      </c>
    </row>
    <row r="4" spans="1:6" x14ac:dyDescent="0.3">
      <c r="A4" s="12">
        <v>2</v>
      </c>
      <c r="B4" s="3">
        <v>0.05</v>
      </c>
      <c r="C4" s="4">
        <f>1/(1+B4)^A4</f>
        <v>0.90702947845804982</v>
      </c>
      <c r="D4" s="12" t="s">
        <v>6</v>
      </c>
      <c r="E4" s="3">
        <f>(((1+B5)^2)/(1+B4))-1</f>
        <v>9.0380952380952451E-2</v>
      </c>
    </row>
    <row r="5" spans="1:6" x14ac:dyDescent="0.3">
      <c r="A5" s="12">
        <v>3</v>
      </c>
      <c r="B5" s="3">
        <v>7.0000000000000007E-2</v>
      </c>
      <c r="C5" s="4">
        <f>1/(1+B5)^A5</f>
        <v>0.81629787689085187</v>
      </c>
      <c r="D5" s="12" t="s">
        <v>7</v>
      </c>
      <c r="E5" s="3">
        <f>(((1+B5)^3)/(1+B3))^(1/2)-1</f>
        <v>9.0578807754088997E-2</v>
      </c>
    </row>
    <row r="6" spans="1:6" x14ac:dyDescent="0.3">
      <c r="B6" s="3"/>
      <c r="C6" s="4"/>
      <c r="D6" s="12"/>
      <c r="E6" s="3"/>
    </row>
    <row r="7" spans="1:6" x14ac:dyDescent="0.3">
      <c r="A7" s="1" t="s">
        <v>69</v>
      </c>
    </row>
    <row r="8" spans="1:6" x14ac:dyDescent="0.3">
      <c r="A8" s="2" t="s">
        <v>1</v>
      </c>
      <c r="B8" s="2" t="s">
        <v>63</v>
      </c>
      <c r="C8" s="2" t="s">
        <v>8</v>
      </c>
      <c r="D8" s="2" t="s">
        <v>9</v>
      </c>
      <c r="E8" s="2" t="s">
        <v>10</v>
      </c>
    </row>
    <row r="9" spans="1:6" x14ac:dyDescent="0.3">
      <c r="A9" s="12">
        <v>1</v>
      </c>
      <c r="B9" s="4">
        <f>C3</f>
        <v>0.970873786407767</v>
      </c>
      <c r="C9" s="11">
        <v>4</v>
      </c>
      <c r="D9" s="6">
        <f>B9*C9</f>
        <v>3.883495145631068</v>
      </c>
      <c r="E9" s="6">
        <f>A9*D9</f>
        <v>3.883495145631068</v>
      </c>
    </row>
    <row r="10" spans="1:6" x14ac:dyDescent="0.3">
      <c r="A10" s="12">
        <v>2</v>
      </c>
      <c r="B10" s="4">
        <f>$C$4</f>
        <v>0.90702947845804982</v>
      </c>
      <c r="C10" s="11">
        <v>4</v>
      </c>
      <c r="D10" s="6">
        <f>B10*C10</f>
        <v>3.6281179138321993</v>
      </c>
      <c r="E10" s="6">
        <f>A10*D10</f>
        <v>7.2562358276643986</v>
      </c>
    </row>
    <row r="11" spans="1:6" x14ac:dyDescent="0.3">
      <c r="A11" s="12">
        <v>3</v>
      </c>
      <c r="B11" s="4">
        <f>$C$5</f>
        <v>0.81629787689085187</v>
      </c>
      <c r="C11" s="11">
        <v>104</v>
      </c>
      <c r="D11" s="6">
        <f>B11*C11</f>
        <v>84.894979196648592</v>
      </c>
      <c r="E11" s="6">
        <f>A11*D11</f>
        <v>254.68493758994578</v>
      </c>
    </row>
    <row r="12" spans="1:6" x14ac:dyDescent="0.3">
      <c r="A12" t="s">
        <v>68</v>
      </c>
      <c r="B12" s="6">
        <f>SUM(D9:D11)</f>
        <v>92.406592256111864</v>
      </c>
    </row>
    <row r="13" spans="1:6" x14ac:dyDescent="0.3">
      <c r="A13" t="s">
        <v>11</v>
      </c>
      <c r="B13" s="6">
        <f>SUM(E9:E11)</f>
        <v>265.82466856324123</v>
      </c>
    </row>
    <row r="14" spans="1:6" x14ac:dyDescent="0.3">
      <c r="A14" t="s">
        <v>12</v>
      </c>
      <c r="B14" s="7">
        <f>B13/B12</f>
        <v>2.8766851159978724</v>
      </c>
      <c r="C14" t="s">
        <v>67</v>
      </c>
    </row>
    <row r="16" spans="1:6" x14ac:dyDescent="0.3">
      <c r="A16" s="10" t="s">
        <v>70</v>
      </c>
    </row>
    <row r="17" spans="1:3" x14ac:dyDescent="0.3">
      <c r="A17" t="s">
        <v>14</v>
      </c>
      <c r="B17" s="11">
        <v>97.98</v>
      </c>
    </row>
    <row r="18" spans="1:3" x14ac:dyDescent="0.3">
      <c r="A18" t="s">
        <v>71</v>
      </c>
      <c r="B18" s="11">
        <v>100</v>
      </c>
    </row>
    <row r="19" spans="1:3" x14ac:dyDescent="0.3">
      <c r="A19" t="s">
        <v>15</v>
      </c>
      <c r="B19" s="13">
        <v>4.75</v>
      </c>
    </row>
    <row r="20" spans="1:3" x14ac:dyDescent="0.3">
      <c r="A20" t="s">
        <v>16</v>
      </c>
      <c r="B20" s="14">
        <v>2.9399999999999999E-2</v>
      </c>
    </row>
    <row r="21" spans="1:3" x14ac:dyDescent="0.3">
      <c r="A21" t="s">
        <v>17</v>
      </c>
      <c r="B21" s="14">
        <v>1E-3</v>
      </c>
    </row>
    <row r="22" spans="1:3" x14ac:dyDescent="0.3">
      <c r="A22" t="s">
        <v>18</v>
      </c>
      <c r="B22" s="3">
        <f>-B19*B21/(1+B20)</f>
        <v>-4.6143384495822802E-3</v>
      </c>
      <c r="C22" t="s">
        <v>72</v>
      </c>
    </row>
    <row r="23" spans="1:3" x14ac:dyDescent="0.3">
      <c r="A23" t="s">
        <v>19</v>
      </c>
      <c r="B23" s="6">
        <f>B17*B22</f>
        <v>-0.45211288129007182</v>
      </c>
    </row>
    <row r="24" spans="1:3" x14ac:dyDescent="0.3">
      <c r="A24" t="s">
        <v>20</v>
      </c>
      <c r="B24" s="6">
        <f>B17+B23</f>
        <v>97.527887118709927</v>
      </c>
    </row>
    <row r="26" spans="1:3" x14ac:dyDescent="0.3">
      <c r="A26" s="1" t="s">
        <v>21</v>
      </c>
    </row>
    <row r="28" spans="1:3" x14ac:dyDescent="0.3">
      <c r="A28" s="1" t="s">
        <v>22</v>
      </c>
    </row>
    <row r="29" spans="1:3" x14ac:dyDescent="0.3">
      <c r="A29" t="s">
        <v>23</v>
      </c>
      <c r="B29" s="13">
        <v>0.98</v>
      </c>
    </row>
    <row r="30" spans="1:3" x14ac:dyDescent="0.3">
      <c r="A30" t="s">
        <v>24</v>
      </c>
      <c r="B30" s="12">
        <v>1</v>
      </c>
    </row>
    <row r="31" spans="1:3" x14ac:dyDescent="0.3">
      <c r="A31" t="s">
        <v>25</v>
      </c>
      <c r="B31" s="13">
        <v>0.85</v>
      </c>
    </row>
    <row r="32" spans="1:3" x14ac:dyDescent="0.3">
      <c r="A32" t="s">
        <v>26</v>
      </c>
      <c r="B32" s="12">
        <v>3</v>
      </c>
    </row>
    <row r="33" spans="1:4" x14ac:dyDescent="0.3">
      <c r="A33" t="s">
        <v>27</v>
      </c>
      <c r="B33" s="12">
        <v>1</v>
      </c>
    </row>
    <row r="34" spans="1:4" x14ac:dyDescent="0.3">
      <c r="A34" t="s">
        <v>28</v>
      </c>
      <c r="B34" s="7">
        <f>-(B33*B29*B30)/(B31*B32)</f>
        <v>-0.3843137254901961</v>
      </c>
    </row>
    <row r="36" spans="1:4" x14ac:dyDescent="0.3">
      <c r="A36" s="1" t="s">
        <v>29</v>
      </c>
    </row>
    <row r="37" spans="1:4" x14ac:dyDescent="0.3">
      <c r="A37" t="s">
        <v>25</v>
      </c>
      <c r="B37" s="13">
        <v>0.85</v>
      </c>
    </row>
    <row r="38" spans="1:4" x14ac:dyDescent="0.3">
      <c r="A38" t="s">
        <v>26</v>
      </c>
      <c r="B38" s="12">
        <v>3</v>
      </c>
    </row>
    <row r="39" spans="1:4" x14ac:dyDescent="0.3">
      <c r="A39" t="s">
        <v>23</v>
      </c>
      <c r="B39" s="13">
        <v>0.98</v>
      </c>
    </row>
    <row r="40" spans="1:4" x14ac:dyDescent="0.3">
      <c r="A40" t="s">
        <v>24</v>
      </c>
      <c r="B40" s="12">
        <v>1</v>
      </c>
    </row>
    <row r="41" spans="1:4" x14ac:dyDescent="0.3">
      <c r="A41" t="s">
        <v>30</v>
      </c>
      <c r="B41" s="12">
        <v>1</v>
      </c>
    </row>
    <row r="42" spans="1:4" x14ac:dyDescent="0.3">
      <c r="A42" t="s">
        <v>31</v>
      </c>
      <c r="B42" s="7">
        <f>-(B41*B37*B38)/(B39*B40)</f>
        <v>-2.6020408163265305</v>
      </c>
    </row>
    <row r="44" spans="1:4" x14ac:dyDescent="0.3">
      <c r="A44" s="1" t="s">
        <v>32</v>
      </c>
    </row>
    <row r="46" spans="1:4" x14ac:dyDescent="0.3">
      <c r="A46" s="1" t="s">
        <v>33</v>
      </c>
      <c r="B46" s="10" t="s">
        <v>74</v>
      </c>
    </row>
    <row r="47" spans="1:4" x14ac:dyDescent="0.3">
      <c r="A47" s="2" t="s">
        <v>76</v>
      </c>
      <c r="B47" s="2">
        <v>80</v>
      </c>
      <c r="C47" s="2">
        <v>100</v>
      </c>
      <c r="D47" s="2">
        <v>500</v>
      </c>
    </row>
    <row r="48" spans="1:4" x14ac:dyDescent="0.3">
      <c r="A48" s="12">
        <v>12</v>
      </c>
      <c r="B48" s="3">
        <f>(B47/100)*B50*(A48/A49)</f>
        <v>1.9200000000000002E-2</v>
      </c>
      <c r="C48" s="3">
        <f>(C47/100)*B50*(A48/A49)</f>
        <v>2.4E-2</v>
      </c>
      <c r="D48" s="3">
        <f>(D47/100)*B50*(A48/A49)</f>
        <v>0.12</v>
      </c>
    </row>
    <row r="49" spans="1:5" x14ac:dyDescent="0.3">
      <c r="A49" s="12">
        <v>30</v>
      </c>
      <c r="B49" s="3">
        <f>(B47/100)*B50*(A49/A49)</f>
        <v>4.8000000000000001E-2</v>
      </c>
      <c r="C49" s="3">
        <f>(C47/100)*B50*(A49/A49)</f>
        <v>0.06</v>
      </c>
      <c r="D49" s="3">
        <f>(D47/100)*B50*(A49/A49)</f>
        <v>0.3</v>
      </c>
    </row>
    <row r="50" spans="1:5" x14ac:dyDescent="0.3">
      <c r="A50" s="12" t="s">
        <v>33</v>
      </c>
      <c r="B50" s="15">
        <v>0.06</v>
      </c>
    </row>
    <row r="52" spans="1:5" x14ac:dyDescent="0.3">
      <c r="A52" s="1" t="s">
        <v>38</v>
      </c>
      <c r="B52" s="10" t="s">
        <v>40</v>
      </c>
      <c r="E52" t="s">
        <v>73</v>
      </c>
    </row>
    <row r="53" spans="1:5" x14ac:dyDescent="0.3">
      <c r="A53" s="2" t="s">
        <v>76</v>
      </c>
      <c r="B53" s="2">
        <f>B47</f>
        <v>80</v>
      </c>
      <c r="C53" s="2">
        <f>C47</f>
        <v>100</v>
      </c>
      <c r="D53" s="2">
        <f>D47</f>
        <v>500</v>
      </c>
      <c r="E53" s="2" t="s">
        <v>75</v>
      </c>
    </row>
    <row r="54" spans="1:5" x14ac:dyDescent="0.3">
      <c r="A54" s="12">
        <f>A48</f>
        <v>12</v>
      </c>
      <c r="B54" s="8">
        <f t="shared" ref="B54:D55" si="0">1-(1-B48)^(1/12)</f>
        <v>1.6142551696204377E-3</v>
      </c>
      <c r="C54" s="8">
        <f t="shared" si="0"/>
        <v>2.0223433498771648E-3</v>
      </c>
      <c r="D54" s="8">
        <f t="shared" si="0"/>
        <v>1.0596241035318976E-2</v>
      </c>
    </row>
    <row r="55" spans="1:5" x14ac:dyDescent="0.3">
      <c r="A55" s="12">
        <f>A49</f>
        <v>30</v>
      </c>
      <c r="B55" s="8">
        <f t="shared" si="0"/>
        <v>4.0907968170484921E-3</v>
      </c>
      <c r="C55" s="8">
        <f t="shared" si="0"/>
        <v>5.1430128318229462E-3</v>
      </c>
      <c r="D55" s="8">
        <f t="shared" si="0"/>
        <v>2.9285530376777613E-2</v>
      </c>
    </row>
    <row r="57" spans="1:5" x14ac:dyDescent="0.3">
      <c r="A57" s="1" t="s">
        <v>39</v>
      </c>
    </row>
    <row r="58" spans="1:5" x14ac:dyDescent="0.3">
      <c r="A58" s="2" t="s">
        <v>40</v>
      </c>
      <c r="B58" s="2" t="s">
        <v>38</v>
      </c>
      <c r="C58" s="2" t="s">
        <v>41</v>
      </c>
      <c r="D58" s="2" t="s">
        <v>42</v>
      </c>
      <c r="E58" s="2" t="s">
        <v>43</v>
      </c>
    </row>
    <row r="59" spans="1:5" x14ac:dyDescent="0.3">
      <c r="A59" s="12">
        <v>80</v>
      </c>
      <c r="B59" s="12">
        <f>B54</f>
        <v>1.6142551696204377E-3</v>
      </c>
      <c r="C59" s="16">
        <v>500000000</v>
      </c>
      <c r="D59" s="16">
        <v>10000000</v>
      </c>
      <c r="E59" s="9">
        <f>(C59-D59)*B59</f>
        <v>790985.03311401443</v>
      </c>
    </row>
    <row r="60" spans="1:5" x14ac:dyDescent="0.3">
      <c r="A60" s="12">
        <v>500</v>
      </c>
      <c r="B60" s="12">
        <f>D54</f>
        <v>1.0596241035318976E-2</v>
      </c>
      <c r="C60" s="16">
        <v>500000000</v>
      </c>
      <c r="D60" s="16">
        <v>10000000</v>
      </c>
      <c r="E60" s="9">
        <f>(C60-D60)*B60</f>
        <v>5192158.1073062988</v>
      </c>
    </row>
    <row r="63" spans="1:5" x14ac:dyDescent="0.3">
      <c r="A63" s="1" t="s">
        <v>44</v>
      </c>
    </row>
    <row r="65" spans="1:2" x14ac:dyDescent="0.3">
      <c r="A65" t="s">
        <v>45</v>
      </c>
      <c r="B65" s="16">
        <v>10000000</v>
      </c>
    </row>
    <row r="66" spans="1:2" x14ac:dyDescent="0.3">
      <c r="A66" t="s">
        <v>46</v>
      </c>
      <c r="B66" s="14">
        <v>5.7500000000000002E-2</v>
      </c>
    </row>
    <row r="67" spans="1:2" x14ac:dyDescent="0.3">
      <c r="A67" t="s">
        <v>47</v>
      </c>
      <c r="B67" s="14">
        <v>0</v>
      </c>
    </row>
    <row r="68" spans="1:2" x14ac:dyDescent="0.3">
      <c r="A68" t="s">
        <v>48</v>
      </c>
      <c r="B68" s="14">
        <v>4.4999999999999998E-2</v>
      </c>
    </row>
    <row r="69" spans="1:2" x14ac:dyDescent="0.3">
      <c r="A69" t="s">
        <v>49</v>
      </c>
      <c r="B69" s="3">
        <f>B67+B68</f>
        <v>4.4999999999999998E-2</v>
      </c>
    </row>
    <row r="70" spans="1:2" x14ac:dyDescent="0.3">
      <c r="A70" t="s">
        <v>50</v>
      </c>
      <c r="B70" s="3">
        <f>B69-B66</f>
        <v>-1.2500000000000004E-2</v>
      </c>
    </row>
    <row r="71" spans="1:2" x14ac:dyDescent="0.3">
      <c r="A71" t="s">
        <v>51</v>
      </c>
      <c r="B71" s="5">
        <f>B65*B70</f>
        <v>-125000.00000000004</v>
      </c>
    </row>
    <row r="73" spans="1:2" x14ac:dyDescent="0.3">
      <c r="A73" s="1" t="s">
        <v>52</v>
      </c>
    </row>
    <row r="74" spans="1:2" x14ac:dyDescent="0.3">
      <c r="A74" t="s">
        <v>53</v>
      </c>
      <c r="B74" s="16">
        <v>100000000</v>
      </c>
    </row>
    <row r="75" spans="1:2" x14ac:dyDescent="0.3">
      <c r="A75" t="s">
        <v>54</v>
      </c>
      <c r="B75" s="14">
        <v>5.5E-2</v>
      </c>
    </row>
    <row r="76" spans="1:2" x14ac:dyDescent="0.3">
      <c r="A76" t="s">
        <v>55</v>
      </c>
      <c r="B76" s="16">
        <v>75000000</v>
      </c>
    </row>
    <row r="77" spans="1:2" x14ac:dyDescent="0.3">
      <c r="A77" t="s">
        <v>56</v>
      </c>
      <c r="B77" s="14">
        <v>0.01</v>
      </c>
    </row>
    <row r="78" spans="1:2" x14ac:dyDescent="0.3">
      <c r="A78" t="s">
        <v>57</v>
      </c>
      <c r="B78" s="16">
        <v>25000000</v>
      </c>
    </row>
    <row r="80" spans="1:2" x14ac:dyDescent="0.3">
      <c r="A80" t="s">
        <v>58</v>
      </c>
      <c r="B80" s="7">
        <f>B76/B78</f>
        <v>3</v>
      </c>
    </row>
    <row r="81" spans="1:2" x14ac:dyDescent="0.3">
      <c r="A81" t="s">
        <v>59</v>
      </c>
      <c r="B81" s="3">
        <f>(B74*B75 - B76*B77)/B78</f>
        <v>0.19</v>
      </c>
    </row>
    <row r="82" spans="1:2" x14ac:dyDescent="0.3">
      <c r="A82" t="s">
        <v>60</v>
      </c>
      <c r="B82">
        <v>0</v>
      </c>
    </row>
    <row r="83" spans="1:2" x14ac:dyDescent="0.3">
      <c r="A83" t="s">
        <v>61</v>
      </c>
      <c r="B83" s="3">
        <f>B81/B80</f>
        <v>6.3333333333333339E-2</v>
      </c>
    </row>
    <row r="84" spans="1:2" x14ac:dyDescent="0.3">
      <c r="A84" t="s">
        <v>62</v>
      </c>
      <c r="B84" s="3">
        <f>B83 + B77</f>
        <v>7.3333333333333334E-2</v>
      </c>
    </row>
  </sheetData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sqref="A1:B9"/>
    </sheetView>
  </sheetViews>
  <sheetFormatPr defaultRowHeight="14.4" x14ac:dyDescent="0.3"/>
  <cols>
    <col min="1" max="2" width="25" customWidth="1"/>
  </cols>
  <sheetData>
    <row r="1" spans="1:2" x14ac:dyDescent="0.3">
      <c r="A1" s="1" t="s">
        <v>13</v>
      </c>
    </row>
    <row r="3" spans="1:2" x14ac:dyDescent="0.3">
      <c r="A3" t="s">
        <v>14</v>
      </c>
      <c r="B3" s="5">
        <v>97.98</v>
      </c>
    </row>
    <row r="4" spans="1:2" x14ac:dyDescent="0.3">
      <c r="A4" t="s">
        <v>15</v>
      </c>
      <c r="B4" s="7">
        <v>4.75</v>
      </c>
    </row>
    <row r="5" spans="1:2" x14ac:dyDescent="0.3">
      <c r="A5" t="s">
        <v>16</v>
      </c>
      <c r="B5" s="3">
        <v>2.9399999999999999E-2</v>
      </c>
    </row>
    <row r="6" spans="1:2" x14ac:dyDescent="0.3">
      <c r="A6" t="s">
        <v>17</v>
      </c>
      <c r="B6" s="3">
        <v>1E-3</v>
      </c>
    </row>
    <row r="7" spans="1:2" x14ac:dyDescent="0.3">
      <c r="A7" t="s">
        <v>18</v>
      </c>
      <c r="B7" s="3">
        <f>-B4*B6/(1+B5)</f>
        <v>-4.6143384495822802E-3</v>
      </c>
    </row>
    <row r="8" spans="1:2" x14ac:dyDescent="0.3">
      <c r="A8" t="s">
        <v>19</v>
      </c>
      <c r="B8" s="6">
        <f>B3*B7</f>
        <v>-0.45211288129007182</v>
      </c>
    </row>
    <row r="9" spans="1:2" x14ac:dyDescent="0.3">
      <c r="A9" t="s">
        <v>20</v>
      </c>
      <c r="B9" s="6">
        <f>B3 + B8</f>
        <v>97.527887118709927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topLeftCell="A2" workbookViewId="0">
      <selection sqref="A1:B17"/>
    </sheetView>
  </sheetViews>
  <sheetFormatPr defaultRowHeight="14.4" x14ac:dyDescent="0.3"/>
  <cols>
    <col min="1" max="2" width="40" customWidth="1"/>
  </cols>
  <sheetData>
    <row r="1" spans="1:2" x14ac:dyDescent="0.3">
      <c r="A1" s="1" t="s">
        <v>21</v>
      </c>
    </row>
    <row r="3" spans="1:2" x14ac:dyDescent="0.3">
      <c r="A3" s="1" t="s">
        <v>22</v>
      </c>
    </row>
    <row r="4" spans="1:2" x14ac:dyDescent="0.3">
      <c r="A4" t="s">
        <v>23</v>
      </c>
      <c r="B4" s="7">
        <v>0.98</v>
      </c>
    </row>
    <row r="5" spans="1:2" x14ac:dyDescent="0.3">
      <c r="A5" t="s">
        <v>24</v>
      </c>
      <c r="B5">
        <v>1</v>
      </c>
    </row>
    <row r="6" spans="1:2" x14ac:dyDescent="0.3">
      <c r="A6" t="s">
        <v>25</v>
      </c>
      <c r="B6" s="7">
        <v>0.85</v>
      </c>
    </row>
    <row r="7" spans="1:2" x14ac:dyDescent="0.3">
      <c r="A7" t="s">
        <v>26</v>
      </c>
      <c r="B7">
        <v>3</v>
      </c>
    </row>
    <row r="8" spans="1:2" x14ac:dyDescent="0.3">
      <c r="A8" t="s">
        <v>27</v>
      </c>
      <c r="B8">
        <v>1</v>
      </c>
    </row>
    <row r="9" spans="1:2" x14ac:dyDescent="0.3">
      <c r="A9" t="s">
        <v>28</v>
      </c>
      <c r="B9" s="7">
        <f>-(B8*B4*B5)/(B6*B7)</f>
        <v>-0.3843137254901961</v>
      </c>
    </row>
    <row r="11" spans="1:2" x14ac:dyDescent="0.3">
      <c r="A11" s="1" t="s">
        <v>29</v>
      </c>
    </row>
    <row r="12" spans="1:2" x14ac:dyDescent="0.3">
      <c r="A12" t="s">
        <v>25</v>
      </c>
      <c r="B12" s="7">
        <v>0.85</v>
      </c>
    </row>
    <row r="13" spans="1:2" x14ac:dyDescent="0.3">
      <c r="A13" t="s">
        <v>26</v>
      </c>
      <c r="B13">
        <v>3</v>
      </c>
    </row>
    <row r="14" spans="1:2" x14ac:dyDescent="0.3">
      <c r="A14" t="s">
        <v>23</v>
      </c>
      <c r="B14" s="7">
        <v>0.98</v>
      </c>
    </row>
    <row r="15" spans="1:2" x14ac:dyDescent="0.3">
      <c r="A15" t="s">
        <v>24</v>
      </c>
      <c r="B15">
        <v>1</v>
      </c>
    </row>
    <row r="16" spans="1:2" x14ac:dyDescent="0.3">
      <c r="A16" t="s">
        <v>30</v>
      </c>
      <c r="B16">
        <v>1</v>
      </c>
    </row>
    <row r="17" spans="1:2" x14ac:dyDescent="0.3">
      <c r="A17" t="s">
        <v>31</v>
      </c>
      <c r="B17" s="7">
        <f>-(B16*B12*B13)/(B14*B15)</f>
        <v>-2.6020408163265305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6"/>
  <sheetViews>
    <sheetView workbookViewId="0">
      <selection sqref="A1:E16"/>
    </sheetView>
  </sheetViews>
  <sheetFormatPr defaultRowHeight="14.4" x14ac:dyDescent="0.3"/>
  <cols>
    <col min="1" max="5" width="18" customWidth="1"/>
  </cols>
  <sheetData>
    <row r="1" spans="1:5" x14ac:dyDescent="0.3">
      <c r="A1" s="1" t="s">
        <v>32</v>
      </c>
    </row>
    <row r="3" spans="1:5" x14ac:dyDescent="0.3">
      <c r="A3" s="1" t="s">
        <v>33</v>
      </c>
    </row>
    <row r="4" spans="1:5" x14ac:dyDescent="0.3">
      <c r="A4" s="2" t="s">
        <v>34</v>
      </c>
      <c r="B4" s="2" t="s">
        <v>35</v>
      </c>
      <c r="C4" s="2" t="s">
        <v>36</v>
      </c>
      <c r="D4" s="2" t="s">
        <v>37</v>
      </c>
    </row>
    <row r="5" spans="1:5" x14ac:dyDescent="0.3">
      <c r="A5">
        <v>12</v>
      </c>
      <c r="B5" s="3">
        <f>IF($A5&lt;30,80/100*6%*$A5/30,80/100*6%)</f>
        <v>1.9200000000000002E-2</v>
      </c>
      <c r="C5" s="3">
        <f>IF($A5&lt;30,100/100*6%*$A5/30,100/100*6%)</f>
        <v>2.4E-2</v>
      </c>
      <c r="D5" s="3">
        <f>IF($A5&lt;30,500/100*6%*$A5/30,500/100*6%)</f>
        <v>0.11999999999999998</v>
      </c>
    </row>
    <row r="6" spans="1:5" x14ac:dyDescent="0.3">
      <c r="A6">
        <v>30</v>
      </c>
      <c r="B6" s="3">
        <f>IF($A6&lt;30,80/100*6%*$A6/30,80/100*6%)</f>
        <v>4.8000000000000001E-2</v>
      </c>
      <c r="C6" s="3">
        <f>IF($A6&lt;30,100/100*6%*$A6/30,100/100*6%)</f>
        <v>0.06</v>
      </c>
      <c r="D6" s="3">
        <f>IF($A6&lt;30,500/100*6%*$A6/30,500/100*6%)</f>
        <v>0.3</v>
      </c>
    </row>
    <row r="8" spans="1:5" x14ac:dyDescent="0.3">
      <c r="A8" s="1" t="s">
        <v>38</v>
      </c>
    </row>
    <row r="9" spans="1:5" x14ac:dyDescent="0.3">
      <c r="A9" s="2" t="s">
        <v>34</v>
      </c>
      <c r="B9" s="2" t="s">
        <v>35</v>
      </c>
      <c r="C9" s="2" t="s">
        <v>36</v>
      </c>
      <c r="D9" s="2" t="s">
        <v>37</v>
      </c>
    </row>
    <row r="10" spans="1:5" x14ac:dyDescent="0.3">
      <c r="A10">
        <v>12</v>
      </c>
      <c r="B10" s="8">
        <f t="shared" ref="B10:D11" si="0">1-(1-B5)^(1/12)</f>
        <v>1.6142551696204377E-3</v>
      </c>
      <c r="C10" s="8">
        <f t="shared" si="0"/>
        <v>2.0223433498771648E-3</v>
      </c>
      <c r="D10" s="8">
        <f t="shared" si="0"/>
        <v>1.0596241035318976E-2</v>
      </c>
    </row>
    <row r="11" spans="1:5" x14ac:dyDescent="0.3">
      <c r="A11">
        <v>30</v>
      </c>
      <c r="B11" s="8">
        <f t="shared" si="0"/>
        <v>4.0907968170484921E-3</v>
      </c>
      <c r="C11" s="8">
        <f t="shared" si="0"/>
        <v>5.1430128318229462E-3</v>
      </c>
      <c r="D11" s="8">
        <f t="shared" si="0"/>
        <v>2.9285530376777613E-2</v>
      </c>
    </row>
    <row r="13" spans="1:5" x14ac:dyDescent="0.3">
      <c r="A13" s="1" t="s">
        <v>39</v>
      </c>
    </row>
    <row r="14" spans="1:5" x14ac:dyDescent="0.3">
      <c r="A14" s="2" t="s">
        <v>40</v>
      </c>
      <c r="B14" s="2" t="s">
        <v>38</v>
      </c>
      <c r="C14" s="2" t="s">
        <v>41</v>
      </c>
      <c r="D14" s="2" t="s">
        <v>42</v>
      </c>
      <c r="E14" s="2" t="s">
        <v>43</v>
      </c>
    </row>
    <row r="15" spans="1:5" x14ac:dyDescent="0.3">
      <c r="A15" t="s">
        <v>35</v>
      </c>
      <c r="B15">
        <f>B10</f>
        <v>1.6142551696204377E-3</v>
      </c>
      <c r="C15" s="9">
        <v>500000000</v>
      </c>
      <c r="D15" s="9">
        <v>10000000</v>
      </c>
      <c r="E15" s="9">
        <f>(C15-D15)*B15</f>
        <v>790985.03311401443</v>
      </c>
    </row>
    <row r="16" spans="1:5" x14ac:dyDescent="0.3">
      <c r="A16" t="s">
        <v>37</v>
      </c>
      <c r="B16">
        <f>D10</f>
        <v>1.0596241035318976E-2</v>
      </c>
      <c r="C16" s="9">
        <v>500000000</v>
      </c>
      <c r="D16" s="9">
        <v>10000000</v>
      </c>
      <c r="E16" s="9">
        <f>(C16-D16)*B16</f>
        <v>5192158.1073062988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9"/>
  <sheetViews>
    <sheetView workbookViewId="0">
      <selection sqref="A1:B9"/>
    </sheetView>
  </sheetViews>
  <sheetFormatPr defaultRowHeight="14.4" x14ac:dyDescent="0.3"/>
  <cols>
    <col min="1" max="2" width="30" customWidth="1"/>
  </cols>
  <sheetData>
    <row r="1" spans="1:2" x14ac:dyDescent="0.3">
      <c r="A1" s="1" t="s">
        <v>44</v>
      </c>
    </row>
    <row r="3" spans="1:2" x14ac:dyDescent="0.3">
      <c r="A3" t="s">
        <v>45</v>
      </c>
      <c r="B3" s="9">
        <v>10000000</v>
      </c>
    </row>
    <row r="4" spans="1:2" x14ac:dyDescent="0.3">
      <c r="A4" t="s">
        <v>46</v>
      </c>
      <c r="B4" s="3">
        <v>5.7500000000000002E-2</v>
      </c>
    </row>
    <row r="5" spans="1:2" x14ac:dyDescent="0.3">
      <c r="A5" t="s">
        <v>47</v>
      </c>
      <c r="B5" s="3">
        <v>0</v>
      </c>
    </row>
    <row r="6" spans="1:2" x14ac:dyDescent="0.3">
      <c r="A6" t="s">
        <v>48</v>
      </c>
      <c r="B6" s="3">
        <v>4.4999999999999998E-2</v>
      </c>
    </row>
    <row r="7" spans="1:2" x14ac:dyDescent="0.3">
      <c r="A7" t="s">
        <v>49</v>
      </c>
      <c r="B7" s="3">
        <f>B5+B6</f>
        <v>4.4999999999999998E-2</v>
      </c>
    </row>
    <row r="8" spans="1:2" x14ac:dyDescent="0.3">
      <c r="A8" t="s">
        <v>50</v>
      </c>
      <c r="B8" s="3">
        <f>B7-B4</f>
        <v>-1.2500000000000004E-2</v>
      </c>
    </row>
    <row r="9" spans="1:2" x14ac:dyDescent="0.3">
      <c r="A9" t="s">
        <v>51</v>
      </c>
      <c r="B9" s="5">
        <f>B3*B8</f>
        <v>-125000.00000000004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3"/>
  <sheetViews>
    <sheetView workbookViewId="0">
      <selection sqref="A1:B13"/>
    </sheetView>
  </sheetViews>
  <sheetFormatPr defaultRowHeight="14.4" x14ac:dyDescent="0.3"/>
  <cols>
    <col min="1" max="2" width="40" customWidth="1"/>
  </cols>
  <sheetData>
    <row r="1" spans="1:2" x14ac:dyDescent="0.3">
      <c r="A1" s="1" t="s">
        <v>52</v>
      </c>
    </row>
    <row r="3" spans="1:2" x14ac:dyDescent="0.3">
      <c r="A3" t="s">
        <v>53</v>
      </c>
      <c r="B3" s="9">
        <v>100000000</v>
      </c>
    </row>
    <row r="4" spans="1:2" x14ac:dyDescent="0.3">
      <c r="A4" t="s">
        <v>54</v>
      </c>
      <c r="B4" s="3">
        <v>5.5E-2</v>
      </c>
    </row>
    <row r="5" spans="1:2" x14ac:dyDescent="0.3">
      <c r="A5" t="s">
        <v>55</v>
      </c>
      <c r="B5" s="9">
        <v>75000000</v>
      </c>
    </row>
    <row r="6" spans="1:2" x14ac:dyDescent="0.3">
      <c r="A6" t="s">
        <v>56</v>
      </c>
      <c r="B6" s="3">
        <v>0.01</v>
      </c>
    </row>
    <row r="7" spans="1:2" x14ac:dyDescent="0.3">
      <c r="A7" t="s">
        <v>57</v>
      </c>
      <c r="B7" s="9">
        <v>25000000</v>
      </c>
    </row>
    <row r="9" spans="1:2" x14ac:dyDescent="0.3">
      <c r="A9" t="s">
        <v>58</v>
      </c>
      <c r="B9" s="7">
        <f>B5/B7</f>
        <v>3</v>
      </c>
    </row>
    <row r="10" spans="1:2" x14ac:dyDescent="0.3">
      <c r="A10" t="s">
        <v>59</v>
      </c>
      <c r="B10" s="3">
        <f>(B3*B4 - B5*B6)/B7</f>
        <v>0.19</v>
      </c>
    </row>
    <row r="11" spans="1:2" x14ac:dyDescent="0.3">
      <c r="A11" t="s">
        <v>60</v>
      </c>
      <c r="B11">
        <v>0</v>
      </c>
    </row>
    <row r="12" spans="1:2" x14ac:dyDescent="0.3">
      <c r="A12" t="s">
        <v>61</v>
      </c>
      <c r="B12" s="3">
        <f>B10/B9</f>
        <v>6.3333333333333339E-2</v>
      </c>
    </row>
    <row r="13" spans="1:2" x14ac:dyDescent="0.3">
      <c r="A13" t="s">
        <v>62</v>
      </c>
      <c r="B13" s="3">
        <f>B12 + B6</f>
        <v>7.3333333333333334E-2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Q1</vt:lpstr>
      <vt:lpstr>Q2</vt:lpstr>
      <vt:lpstr>Q3</vt:lpstr>
      <vt:lpstr>Q4</vt:lpstr>
      <vt:lpstr>Q5</vt:lpstr>
      <vt:lpstr>Q6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2025-12-07T20:22:20Z</dcterms:created>
  <dcterms:modified xsi:type="dcterms:W3CDTF">2025-12-09T14:44:26Z</dcterms:modified>
</cp:coreProperties>
</file>