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24226"/>
  <mc:AlternateContent xmlns:mc="http://schemas.openxmlformats.org/markup-compatibility/2006">
    <mc:Choice Requires="x15">
      <x15ac:absPath xmlns:x15ac="http://schemas.microsoft.com/office/spreadsheetml/2010/11/ac" url="https://d.docs.live.net/8fee9006121b51b1/Desktop/Emory Fix Inc^0 Credit Market/"/>
    </mc:Choice>
  </mc:AlternateContent>
  <xr:revisionPtr revIDLastSave="161" documentId="13_ncr:1_{A8F3B3F1-EF00-46A1-AE48-CCEBF50DAF33}" xr6:coauthVersionLast="47" xr6:coauthVersionMax="47" xr10:uidLastSave="{C0FA85B2-8A65-41E8-A4E6-58DD22C2F0C4}"/>
  <bookViews>
    <workbookView xWindow="-96" yWindow="0" windowWidth="11580" windowHeight="13776" firstSheet="12" activeTab="12" xr2:uid="{00000000-000D-0000-FFFF-FFFF00000000}"/>
  </bookViews>
  <sheets>
    <sheet name="Bond Pricing" sheetId="1" r:id="rId1"/>
    <sheet name="Bond YTM" sheetId="2" r:id="rId2"/>
    <sheet name="Bond Returns" sheetId="3" r:id="rId3"/>
    <sheet name="Bootstrapping" sheetId="4" r:id="rId4"/>
    <sheet name="Duration Hedging" sheetId="6" r:id="rId5"/>
    <sheet name="Bond Arbitrage" sheetId="5" r:id="rId6"/>
    <sheet name="Term structure&amp;Int R" sheetId="7" r:id="rId7"/>
    <sheet name="TVM, Bond Pricing, Yields." sheetId="8" r:id="rId8"/>
    <sheet name="Duration Assgn" sheetId="9" r:id="rId9"/>
    <sheet name="Mortgages" sheetId="10" r:id="rId10"/>
    <sheet name="CPR" sheetId="11" r:id="rId11"/>
    <sheet name="Floater or Inverse Floater" sheetId="12" r:id="rId12"/>
    <sheet name="Sheet1" sheetId="13" r:id="rId13"/>
    <sheet name="Sheet2" sheetId="14" r:id="rId14"/>
  </sheets>
  <externalReferences>
    <externalReference r:id="rId15"/>
    <externalReference r:id="rId16"/>
    <externalReference r:id="rId17"/>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3" i="13" l="1"/>
  <c r="B78" i="13"/>
  <c r="B80" i="13" s="1"/>
  <c r="B81" i="13" s="1"/>
  <c r="B77" i="13"/>
  <c r="B66" i="13"/>
  <c r="A54" i="13"/>
  <c r="A53" i="13"/>
  <c r="D52" i="13"/>
  <c r="C52" i="13"/>
  <c r="B52" i="13"/>
  <c r="D48" i="13"/>
  <c r="D54" i="13" s="1"/>
  <c r="C48" i="13"/>
  <c r="C54" i="13" s="1"/>
  <c r="B48" i="13"/>
  <c r="B54" i="13" s="1"/>
  <c r="D47" i="13"/>
  <c r="D53" i="13" s="1"/>
  <c r="B59" i="13" s="1"/>
  <c r="E59" i="13" s="1"/>
  <c r="C47" i="13"/>
  <c r="C53" i="13" s="1"/>
  <c r="B47" i="13"/>
  <c r="B53" i="13" s="1"/>
  <c r="B58" i="13" s="1"/>
  <c r="E58" i="13" s="1"/>
  <c r="B41" i="13"/>
  <c r="B22" i="13"/>
  <c r="B23" i="13" s="1"/>
  <c r="B24" i="13" s="1"/>
  <c r="E5" i="13"/>
  <c r="C5" i="13"/>
  <c r="B11" i="13" s="1"/>
  <c r="D11" i="13" s="1"/>
  <c r="E11" i="13" s="1"/>
  <c r="E4" i="13"/>
  <c r="C4" i="13"/>
  <c r="B10" i="13" s="1"/>
  <c r="D10" i="13" s="1"/>
  <c r="E10" i="13" s="1"/>
  <c r="E3" i="13"/>
  <c r="C3" i="13"/>
  <c r="B9" i="13" s="1"/>
  <c r="D9" i="13" s="1"/>
  <c r="B67" i="13" l="1"/>
  <c r="B68" i="13" s="1"/>
  <c r="E9" i="13"/>
  <c r="B13" i="13" s="1"/>
  <c r="B12" i="13"/>
  <c r="B14" i="13" l="1"/>
  <c r="C14" i="7"/>
  <c r="D21" i="5" l="1"/>
  <c r="I22" i="4"/>
  <c r="E13" i="4"/>
  <c r="D13" i="4"/>
  <c r="I17" i="3"/>
  <c r="I18" i="3"/>
  <c r="I19" i="3"/>
  <c r="I20" i="3"/>
  <c r="I21" i="3"/>
  <c r="I22" i="3"/>
  <c r="I23" i="3"/>
  <c r="I24" i="3"/>
  <c r="I25" i="3"/>
  <c r="I16" i="3"/>
  <c r="N8" i="3"/>
  <c r="N7" i="3"/>
  <c r="N6" i="3"/>
  <c r="C34" i="1"/>
  <c r="C32" i="1"/>
  <c r="C33" i="1"/>
  <c r="D13" i="3"/>
  <c r="C6" i="2"/>
  <c r="A16" i="12"/>
  <c r="A17" i="12" s="1"/>
  <c r="B8" i="12"/>
  <c r="B10" i="12" s="1"/>
  <c r="C6" i="11"/>
  <c r="C7" i="11" s="1"/>
  <c r="B6" i="11"/>
  <c r="B5" i="11"/>
  <c r="G5" i="11" s="1"/>
  <c r="H5" i="11" s="1"/>
  <c r="G4" i="11"/>
  <c r="H4" i="11" s="1"/>
  <c r="E4" i="11"/>
  <c r="F4" i="11" s="1"/>
  <c r="C4" i="11"/>
  <c r="C5" i="11" s="1"/>
  <c r="D5" i="11" s="1"/>
  <c r="B10" i="10"/>
  <c r="B11" i="10" s="1"/>
  <c r="B12" i="10" s="1"/>
  <c r="B13" i="10" s="1"/>
  <c r="B14" i="10" s="1"/>
  <c r="B15" i="10" s="1"/>
  <c r="B16" i="10" s="1"/>
  <c r="B17" i="10" s="1"/>
  <c r="B18" i="10" s="1"/>
  <c r="B19" i="10" s="1"/>
  <c r="B20" i="10" s="1"/>
  <c r="B21" i="10" s="1"/>
  <c r="B22" i="10" s="1"/>
  <c r="B23" i="10" s="1"/>
  <c r="B24" i="10" s="1"/>
  <c r="B25" i="10" s="1"/>
  <c r="B26" i="10" s="1"/>
  <c r="B27" i="10" s="1"/>
  <c r="B28" i="10" s="1"/>
  <c r="B29" i="10" s="1"/>
  <c r="B30" i="10" s="1"/>
  <c r="B31" i="10" s="1"/>
  <c r="B32" i="10" s="1"/>
  <c r="B33" i="10" s="1"/>
  <c r="B34" i="10" s="1"/>
  <c r="B35" i="10" s="1"/>
  <c r="B36" i="10" s="1"/>
  <c r="B37" i="10" s="1"/>
  <c r="B38" i="10" s="1"/>
  <c r="B39" i="10" s="1"/>
  <c r="B40" i="10" s="1"/>
  <c r="B41" i="10" s="1"/>
  <c r="B42" i="10" s="1"/>
  <c r="B43" i="10" s="1"/>
  <c r="B44" i="10" s="1"/>
  <c r="B45" i="10" s="1"/>
  <c r="B46" i="10" s="1"/>
  <c r="B47" i="10" s="1"/>
  <c r="B48" i="10" s="1"/>
  <c r="B49" i="10" s="1"/>
  <c r="B50" i="10" s="1"/>
  <c r="B51" i="10" s="1"/>
  <c r="B52" i="10" s="1"/>
  <c r="B53" i="10" s="1"/>
  <c r="B54" i="10" s="1"/>
  <c r="B55" i="10" s="1"/>
  <c r="B56" i="10" s="1"/>
  <c r="B57" i="10" s="1"/>
  <c r="B58" i="10" s="1"/>
  <c r="B59" i="10" s="1"/>
  <c r="B60" i="10" s="1"/>
  <c r="B61" i="10" s="1"/>
  <c r="B62" i="10" s="1"/>
  <c r="B63" i="10" s="1"/>
  <c r="B64" i="10" s="1"/>
  <c r="B65" i="10" s="1"/>
  <c r="B66" i="10" s="1"/>
  <c r="B67" i="10" s="1"/>
  <c r="B68" i="10" s="1"/>
  <c r="B69" i="10" s="1"/>
  <c r="B70" i="10" s="1"/>
  <c r="B71" i="10" s="1"/>
  <c r="B72" i="10" s="1"/>
  <c r="B73" i="10" s="1"/>
  <c r="B74" i="10" s="1"/>
  <c r="B75" i="10" s="1"/>
  <c r="B76" i="10" s="1"/>
  <c r="B77" i="10" s="1"/>
  <c r="B78" i="10" s="1"/>
  <c r="B79" i="10" s="1"/>
  <c r="B80" i="10" s="1"/>
  <c r="B81" i="10" s="1"/>
  <c r="B82" i="10" s="1"/>
  <c r="B83" i="10" s="1"/>
  <c r="B84" i="10" s="1"/>
  <c r="B85" i="10" s="1"/>
  <c r="B86" i="10" s="1"/>
  <c r="B87" i="10" s="1"/>
  <c r="B88" i="10" s="1"/>
  <c r="B89" i="10" s="1"/>
  <c r="B90" i="10" s="1"/>
  <c r="B91" i="10" s="1"/>
  <c r="B92" i="10" s="1"/>
  <c r="B93" i="10" s="1"/>
  <c r="B94" i="10" s="1"/>
  <c r="B95" i="10" s="1"/>
  <c r="B96" i="10" s="1"/>
  <c r="B97" i="10" s="1"/>
  <c r="B98" i="10" s="1"/>
  <c r="B99" i="10" s="1"/>
  <c r="B100" i="10" s="1"/>
  <c r="B101" i="10" s="1"/>
  <c r="B102" i="10" s="1"/>
  <c r="B103" i="10" s="1"/>
  <c r="B104" i="10" s="1"/>
  <c r="B105" i="10" s="1"/>
  <c r="B106" i="10" s="1"/>
  <c r="B107" i="10" s="1"/>
  <c r="B108" i="10" s="1"/>
  <c r="B109" i="10" s="1"/>
  <c r="B110" i="10" s="1"/>
  <c r="B111" i="10" s="1"/>
  <c r="B112" i="10" s="1"/>
  <c r="B113" i="10" s="1"/>
  <c r="B114" i="10" s="1"/>
  <c r="B115" i="10" s="1"/>
  <c r="B116" i="10" s="1"/>
  <c r="B117" i="10" s="1"/>
  <c r="B118" i="10" s="1"/>
  <c r="B119" i="10" s="1"/>
  <c r="B120" i="10" s="1"/>
  <c r="B121" i="10" s="1"/>
  <c r="B122" i="10" s="1"/>
  <c r="B123" i="10" s="1"/>
  <c r="B124" i="10" s="1"/>
  <c r="B125" i="10" s="1"/>
  <c r="B126" i="10" s="1"/>
  <c r="B127" i="10" s="1"/>
  <c r="B128" i="10" s="1"/>
  <c r="B129" i="10" s="1"/>
  <c r="B130" i="10" s="1"/>
  <c r="B131" i="10" s="1"/>
  <c r="B132" i="10" s="1"/>
  <c r="B133" i="10" s="1"/>
  <c r="B134" i="10" s="1"/>
  <c r="B135" i="10" s="1"/>
  <c r="B136" i="10" s="1"/>
  <c r="B137" i="10" s="1"/>
  <c r="B138" i="10" s="1"/>
  <c r="B139" i="10" s="1"/>
  <c r="B140" i="10" s="1"/>
  <c r="B141" i="10" s="1"/>
  <c r="B142" i="10" s="1"/>
  <c r="B143" i="10" s="1"/>
  <c r="B144" i="10" s="1"/>
  <c r="B145" i="10" s="1"/>
  <c r="B146" i="10" s="1"/>
  <c r="B147" i="10" s="1"/>
  <c r="B148" i="10" s="1"/>
  <c r="B149" i="10" s="1"/>
  <c r="B150" i="10" s="1"/>
  <c r="B151" i="10" s="1"/>
  <c r="B152" i="10" s="1"/>
  <c r="B153" i="10" s="1"/>
  <c r="B154" i="10" s="1"/>
  <c r="B155" i="10" s="1"/>
  <c r="B156" i="10" s="1"/>
  <c r="B157" i="10" s="1"/>
  <c r="B158" i="10" s="1"/>
  <c r="B159" i="10" s="1"/>
  <c r="B160" i="10" s="1"/>
  <c r="B161" i="10" s="1"/>
  <c r="B162" i="10" s="1"/>
  <c r="B163" i="10" s="1"/>
  <c r="B164" i="10" s="1"/>
  <c r="B165" i="10" s="1"/>
  <c r="B166" i="10" s="1"/>
  <c r="B167" i="10" s="1"/>
  <c r="B168" i="10" s="1"/>
  <c r="B169" i="10" s="1"/>
  <c r="B170" i="10" s="1"/>
  <c r="B171" i="10" s="1"/>
  <c r="B172" i="10" s="1"/>
  <c r="B173" i="10" s="1"/>
  <c r="B174" i="10" s="1"/>
  <c r="B175" i="10" s="1"/>
  <c r="B176" i="10" s="1"/>
  <c r="B177" i="10" s="1"/>
  <c r="B178" i="10" s="1"/>
  <c r="B179" i="10" s="1"/>
  <c r="B180" i="10" s="1"/>
  <c r="B181" i="10" s="1"/>
  <c r="B182" i="10" s="1"/>
  <c r="B183" i="10" s="1"/>
  <c r="B184" i="10" s="1"/>
  <c r="B185" i="10" s="1"/>
  <c r="B186" i="10" s="1"/>
  <c r="B187" i="10" s="1"/>
  <c r="B188" i="10" s="1"/>
  <c r="B189" i="10" s="1"/>
  <c r="B190" i="10" s="1"/>
  <c r="B191" i="10" s="1"/>
  <c r="B192" i="10" s="1"/>
  <c r="B193" i="10" s="1"/>
  <c r="B194" i="10" s="1"/>
  <c r="B195" i="10" s="1"/>
  <c r="B196" i="10" s="1"/>
  <c r="B197" i="10" s="1"/>
  <c r="B198" i="10" s="1"/>
  <c r="B199" i="10" s="1"/>
  <c r="B200" i="10" s="1"/>
  <c r="B201" i="10" s="1"/>
  <c r="B202" i="10" s="1"/>
  <c r="B203" i="10" s="1"/>
  <c r="B204" i="10" s="1"/>
  <c r="B205" i="10" s="1"/>
  <c r="B206" i="10" s="1"/>
  <c r="B207" i="10" s="1"/>
  <c r="B208" i="10" s="1"/>
  <c r="B209" i="10" s="1"/>
  <c r="B210" i="10" s="1"/>
  <c r="B211" i="10" s="1"/>
  <c r="B212" i="10" s="1"/>
  <c r="B213" i="10" s="1"/>
  <c r="B214" i="10" s="1"/>
  <c r="B215" i="10" s="1"/>
  <c r="B216" i="10" s="1"/>
  <c r="B217" i="10" s="1"/>
  <c r="B218" i="10" s="1"/>
  <c r="B219" i="10" s="1"/>
  <c r="B220" i="10" s="1"/>
  <c r="B221" i="10" s="1"/>
  <c r="B222" i="10" s="1"/>
  <c r="B223" i="10" s="1"/>
  <c r="B224" i="10" s="1"/>
  <c r="B225" i="10" s="1"/>
  <c r="B226" i="10" s="1"/>
  <c r="B227" i="10" s="1"/>
  <c r="B228" i="10" s="1"/>
  <c r="B229" i="10" s="1"/>
  <c r="B230" i="10" s="1"/>
  <c r="B231" i="10" s="1"/>
  <c r="B232" i="10" s="1"/>
  <c r="B233" i="10" s="1"/>
  <c r="B234" i="10" s="1"/>
  <c r="B235" i="10" s="1"/>
  <c r="B236" i="10" s="1"/>
  <c r="B237" i="10" s="1"/>
  <c r="B238" i="10" s="1"/>
  <c r="B239" i="10" s="1"/>
  <c r="B240" i="10" s="1"/>
  <c r="B241" i="10" s="1"/>
  <c r="B242" i="10" s="1"/>
  <c r="B243" i="10" s="1"/>
  <c r="B244" i="10" s="1"/>
  <c r="B245" i="10" s="1"/>
  <c r="B246" i="10" s="1"/>
  <c r="B247" i="10" s="1"/>
  <c r="B248" i="10" s="1"/>
  <c r="B249" i="10" s="1"/>
  <c r="B250" i="10" s="1"/>
  <c r="B251" i="10" s="1"/>
  <c r="B252" i="10" s="1"/>
  <c r="B253" i="10" s="1"/>
  <c r="B254" i="10" s="1"/>
  <c r="B255" i="10" s="1"/>
  <c r="B256" i="10" s="1"/>
  <c r="B257" i="10" s="1"/>
  <c r="B258" i="10" s="1"/>
  <c r="B259" i="10" s="1"/>
  <c r="B260" i="10" s="1"/>
  <c r="B261" i="10" s="1"/>
  <c r="B262" i="10" s="1"/>
  <c r="B263" i="10" s="1"/>
  <c r="B264" i="10" s="1"/>
  <c r="B265" i="10" s="1"/>
  <c r="B266" i="10" s="1"/>
  <c r="B267" i="10" s="1"/>
  <c r="B268" i="10" s="1"/>
  <c r="B269" i="10" s="1"/>
  <c r="B270" i="10" s="1"/>
  <c r="B271" i="10" s="1"/>
  <c r="B272" i="10" s="1"/>
  <c r="B273" i="10" s="1"/>
  <c r="B274" i="10" s="1"/>
  <c r="B275" i="10" s="1"/>
  <c r="B276" i="10" s="1"/>
  <c r="B277" i="10" s="1"/>
  <c r="B278" i="10" s="1"/>
  <c r="B279" i="10" s="1"/>
  <c r="B280" i="10" s="1"/>
  <c r="B281" i="10" s="1"/>
  <c r="B282" i="10" s="1"/>
  <c r="B283" i="10" s="1"/>
  <c r="B284" i="10" s="1"/>
  <c r="B285" i="10" s="1"/>
  <c r="B286" i="10" s="1"/>
  <c r="B287" i="10" s="1"/>
  <c r="B288" i="10" s="1"/>
  <c r="B289" i="10" s="1"/>
  <c r="B290" i="10" s="1"/>
  <c r="B291" i="10" s="1"/>
  <c r="B292" i="10" s="1"/>
  <c r="B293" i="10" s="1"/>
  <c r="B294" i="10" s="1"/>
  <c r="B295" i="10" s="1"/>
  <c r="B296" i="10" s="1"/>
  <c r="B297" i="10" s="1"/>
  <c r="B298" i="10" s="1"/>
  <c r="B299" i="10" s="1"/>
  <c r="B300" i="10" s="1"/>
  <c r="B301" i="10" s="1"/>
  <c r="B302" i="10" s="1"/>
  <c r="B303" i="10" s="1"/>
  <c r="B304" i="10" s="1"/>
  <c r="B305" i="10" s="1"/>
  <c r="B306" i="10" s="1"/>
  <c r="B307" i="10" s="1"/>
  <c r="B308" i="10" s="1"/>
  <c r="B309" i="10" s="1"/>
  <c r="B310" i="10" s="1"/>
  <c r="B311" i="10" s="1"/>
  <c r="B312" i="10" s="1"/>
  <c r="B313" i="10" s="1"/>
  <c r="B314" i="10" s="1"/>
  <c r="B315" i="10" s="1"/>
  <c r="B316" i="10" s="1"/>
  <c r="B317" i="10" s="1"/>
  <c r="B318" i="10" s="1"/>
  <c r="B319" i="10" s="1"/>
  <c r="B320" i="10" s="1"/>
  <c r="B321" i="10" s="1"/>
  <c r="B322" i="10" s="1"/>
  <c r="B323" i="10" s="1"/>
  <c r="B324" i="10" s="1"/>
  <c r="B325" i="10" s="1"/>
  <c r="B326" i="10" s="1"/>
  <c r="B327" i="10" s="1"/>
  <c r="B328" i="10" s="1"/>
  <c r="B329" i="10" s="1"/>
  <c r="B330" i="10" s="1"/>
  <c r="B331" i="10" s="1"/>
  <c r="B332" i="10" s="1"/>
  <c r="B333" i="10" s="1"/>
  <c r="B334" i="10" s="1"/>
  <c r="B335" i="10" s="1"/>
  <c r="B336" i="10" s="1"/>
  <c r="B337" i="10" s="1"/>
  <c r="B338" i="10" s="1"/>
  <c r="B339" i="10" s="1"/>
  <c r="B340" i="10" s="1"/>
  <c r="B341" i="10" s="1"/>
  <c r="B342" i="10" s="1"/>
  <c r="B343" i="10" s="1"/>
  <c r="B344" i="10" s="1"/>
  <c r="B345" i="10" s="1"/>
  <c r="B346" i="10" s="1"/>
  <c r="B347" i="10" s="1"/>
  <c r="B348" i="10" s="1"/>
  <c r="B349" i="10" s="1"/>
  <c r="B350" i="10" s="1"/>
  <c r="B351" i="10" s="1"/>
  <c r="B352" i="10" s="1"/>
  <c r="B353" i="10" s="1"/>
  <c r="B354" i="10" s="1"/>
  <c r="B355" i="10" s="1"/>
  <c r="B356" i="10" s="1"/>
  <c r="B357" i="10" s="1"/>
  <c r="B358" i="10" s="1"/>
  <c r="B359" i="10" s="1"/>
  <c r="B360" i="10" s="1"/>
  <c r="B361" i="10" s="1"/>
  <c r="B362" i="10" s="1"/>
  <c r="B363" i="10" s="1"/>
  <c r="B364" i="10" s="1"/>
  <c r="B365" i="10" s="1"/>
  <c r="B366" i="10" s="1"/>
  <c r="B367" i="10" s="1"/>
  <c r="B368" i="10" s="1"/>
  <c r="C9" i="10"/>
  <c r="C6" i="10"/>
  <c r="D9" i="10" s="1"/>
  <c r="D10" i="10" s="1"/>
  <c r="C13" i="1"/>
  <c r="C10" i="1"/>
  <c r="E94" i="9"/>
  <c r="D94" i="9"/>
  <c r="C94" i="9"/>
  <c r="F94" i="9" s="1"/>
  <c r="E93" i="9"/>
  <c r="D93" i="9"/>
  <c r="C93" i="9"/>
  <c r="E92" i="9"/>
  <c r="F92" i="9" s="1"/>
  <c r="D92" i="9"/>
  <c r="C92" i="9"/>
  <c r="E91" i="9"/>
  <c r="D102" i="9" s="1"/>
  <c r="D91" i="9"/>
  <c r="C101" i="9" s="1"/>
  <c r="C91" i="9"/>
  <c r="D100" i="9" s="1"/>
  <c r="H42" i="9"/>
  <c r="I42" i="9" s="1"/>
  <c r="E42" i="9"/>
  <c r="F42" i="9" s="1"/>
  <c r="H41" i="9"/>
  <c r="I41" i="9" s="1"/>
  <c r="E41" i="9"/>
  <c r="F41" i="9" s="1"/>
  <c r="H40" i="9"/>
  <c r="I40" i="9" s="1"/>
  <c r="E40" i="9"/>
  <c r="F40" i="9" s="1"/>
  <c r="G15" i="9"/>
  <c r="E15" i="9"/>
  <c r="G14" i="9"/>
  <c r="E14" i="9"/>
  <c r="G13" i="9"/>
  <c r="G16" i="9" s="1"/>
  <c r="E13" i="9"/>
  <c r="E16" i="9" s="1"/>
  <c r="F42" i="8"/>
  <c r="E42" i="8"/>
  <c r="G42" i="8" s="1"/>
  <c r="F41" i="8"/>
  <c r="E41" i="8"/>
  <c r="G41" i="8" s="1"/>
  <c r="F40" i="8"/>
  <c r="E40" i="8"/>
  <c r="F39" i="8"/>
  <c r="E39" i="8"/>
  <c r="G33" i="8"/>
  <c r="H33" i="8" s="1"/>
  <c r="F33" i="8"/>
  <c r="E33" i="8"/>
  <c r="G32" i="8"/>
  <c r="H32" i="8" s="1"/>
  <c r="F32" i="8"/>
  <c r="E32" i="8"/>
  <c r="G31" i="8"/>
  <c r="F31" i="8"/>
  <c r="E31" i="8"/>
  <c r="G30" i="8"/>
  <c r="F30" i="8"/>
  <c r="E30" i="8"/>
  <c r="D25" i="8"/>
  <c r="D22" i="8"/>
  <c r="B22" i="8"/>
  <c r="C22" i="8" s="1"/>
  <c r="D21" i="8"/>
  <c r="B21" i="8"/>
  <c r="C21" i="8" s="1"/>
  <c r="D20" i="8"/>
  <c r="B20" i="8"/>
  <c r="C20" i="8" s="1"/>
  <c r="D19" i="8"/>
  <c r="B19" i="8"/>
  <c r="C19" i="8" s="1"/>
  <c r="D18" i="8"/>
  <c r="C18" i="8"/>
  <c r="B18" i="8"/>
  <c r="D17" i="8"/>
  <c r="B17" i="8"/>
  <c r="C17" i="8" s="1"/>
  <c r="D16" i="8"/>
  <c r="C16" i="8"/>
  <c r="B16" i="8"/>
  <c r="D15" i="8"/>
  <c r="B15" i="8"/>
  <c r="C15" i="8" s="1"/>
  <c r="D14" i="8"/>
  <c r="B14" i="8"/>
  <c r="C14" i="8" s="1"/>
  <c r="D13" i="8"/>
  <c r="B13" i="8"/>
  <c r="C13" i="8" s="1"/>
  <c r="D12" i="8"/>
  <c r="B12" i="8"/>
  <c r="C12" i="8" s="1"/>
  <c r="D11" i="8"/>
  <c r="B11" i="8"/>
  <c r="C11" i="8" s="1"/>
  <c r="D10" i="8"/>
  <c r="B10" i="8"/>
  <c r="C10" i="8" s="1"/>
  <c r="D9" i="8"/>
  <c r="B9" i="8"/>
  <c r="C9" i="8" s="1"/>
  <c r="D8" i="8"/>
  <c r="B8" i="8"/>
  <c r="C8" i="8" s="1"/>
  <c r="D7" i="8"/>
  <c r="B7" i="8"/>
  <c r="C7" i="8" s="1"/>
  <c r="D6" i="8"/>
  <c r="B6" i="8"/>
  <c r="C6" i="8" s="1"/>
  <c r="D5" i="8"/>
  <c r="B5" i="8"/>
  <c r="C5" i="8" s="1"/>
  <c r="D4" i="8"/>
  <c r="B4" i="8"/>
  <c r="C4" i="8" s="1"/>
  <c r="I3" i="8"/>
  <c r="H3" i="8"/>
  <c r="D3" i="8"/>
  <c r="B3" i="8"/>
  <c r="C3" i="8" s="1"/>
  <c r="C11" i="12"/>
  <c r="C10" i="12"/>
  <c r="C8" i="12"/>
  <c r="C9" i="12"/>
  <c r="C12" i="12"/>
  <c r="A18" i="12" l="1"/>
  <c r="B9" i="12"/>
  <c r="C15" i="12" s="1"/>
  <c r="E15" i="12" s="1"/>
  <c r="D7" i="11"/>
  <c r="C8" i="11"/>
  <c r="B7" i="11"/>
  <c r="G6" i="11"/>
  <c r="H6" i="11" s="1"/>
  <c r="E6" i="11"/>
  <c r="F6" i="11" s="1"/>
  <c r="D6" i="11"/>
  <c r="E5" i="11"/>
  <c r="F5" i="11" s="1"/>
  <c r="D4" i="11"/>
  <c r="D11" i="10"/>
  <c r="E9" i="10"/>
  <c r="F9" i="10" s="1"/>
  <c r="I31" i="8"/>
  <c r="I33" i="8"/>
  <c r="F93" i="9"/>
  <c r="I30" i="8"/>
  <c r="H30" i="8"/>
  <c r="D101" i="9"/>
  <c r="E43" i="9"/>
  <c r="F43" i="9"/>
  <c r="F44" i="9" s="1"/>
  <c r="I43" i="9"/>
  <c r="E101" i="9"/>
  <c r="D99" i="9"/>
  <c r="C102" i="9"/>
  <c r="E102" i="9" s="1"/>
  <c r="F91" i="9"/>
  <c r="C99" i="9" s="1"/>
  <c r="C100" i="9"/>
  <c r="E100" i="9" s="1"/>
  <c r="H43" i="9"/>
  <c r="I32" i="8"/>
  <c r="G40" i="8"/>
  <c r="J30" i="8"/>
  <c r="H31" i="8"/>
  <c r="J31" i="8" s="1"/>
  <c r="G39" i="8"/>
  <c r="J32" i="8"/>
  <c r="J33" i="8"/>
  <c r="D24" i="8"/>
  <c r="C30" i="7"/>
  <c r="D30" i="7" s="1"/>
  <c r="B20" i="7"/>
  <c r="B19" i="7"/>
  <c r="C16" i="7"/>
  <c r="C15" i="7"/>
  <c r="C8" i="7"/>
  <c r="C31" i="7" s="1"/>
  <c r="D31" i="7" s="1"/>
  <c r="C7" i="7"/>
  <c r="C6" i="7"/>
  <c r="B25" i="7" s="1"/>
  <c r="C23" i="12" l="1"/>
  <c r="E23" i="12" s="1"/>
  <c r="C16" i="12"/>
  <c r="E16" i="12" s="1"/>
  <c r="C24" i="12"/>
  <c r="E24" i="12" s="1"/>
  <c r="B11" i="12"/>
  <c r="B12" i="12" s="1"/>
  <c r="B17" i="12" s="1"/>
  <c r="D17" i="12" s="1"/>
  <c r="F17" i="12" s="1"/>
  <c r="C17" i="12"/>
  <c r="E17" i="12" s="1"/>
  <c r="C22" i="12"/>
  <c r="E22" i="12" s="1"/>
  <c r="A19" i="12"/>
  <c r="C18" i="12"/>
  <c r="E18" i="12" s="1"/>
  <c r="B23" i="12"/>
  <c r="D23" i="12" s="1"/>
  <c r="B22" i="12"/>
  <c r="D22" i="12" s="1"/>
  <c r="F22" i="12" s="1"/>
  <c r="B24" i="12"/>
  <c r="D24" i="12" s="1"/>
  <c r="F24" i="12" s="1"/>
  <c r="C25" i="12"/>
  <c r="E25" i="12" s="1"/>
  <c r="E7" i="11"/>
  <c r="F7" i="11" s="1"/>
  <c r="B8" i="11"/>
  <c r="G7" i="11"/>
  <c r="H7" i="11" s="1"/>
  <c r="C9" i="11"/>
  <c r="D8" i="11"/>
  <c r="G9" i="10"/>
  <c r="C10" i="10" s="1"/>
  <c r="D12" i="10"/>
  <c r="I44" i="9"/>
  <c r="E99" i="9"/>
  <c r="C108" i="9" s="1"/>
  <c r="C29" i="7"/>
  <c r="D29" i="7" s="1"/>
  <c r="D32" i="7" s="1"/>
  <c r="D34" i="7" s="1"/>
  <c r="B24" i="7"/>
  <c r="B9" i="6"/>
  <c r="F9" i="6" s="1"/>
  <c r="G9" i="6" s="1"/>
  <c r="H9" i="6" s="1"/>
  <c r="F8" i="6"/>
  <c r="G8" i="6" s="1"/>
  <c r="H8" i="6" s="1"/>
  <c r="D8" i="6"/>
  <c r="E8" i="6" s="1"/>
  <c r="I8" i="6" s="1"/>
  <c r="C8" i="6"/>
  <c r="F23" i="12" l="1"/>
  <c r="B15" i="12"/>
  <c r="D15" i="12" s="1"/>
  <c r="F15" i="12" s="1"/>
  <c r="B25" i="12"/>
  <c r="D25" i="12" s="1"/>
  <c r="B18" i="12"/>
  <c r="D18" i="12" s="1"/>
  <c r="F18" i="12" s="1"/>
  <c r="B16" i="12"/>
  <c r="D16" i="12" s="1"/>
  <c r="F16" i="12" s="1"/>
  <c r="F25" i="12"/>
  <c r="A20" i="12"/>
  <c r="B19" i="12"/>
  <c r="D19" i="12" s="1"/>
  <c r="C19" i="12"/>
  <c r="E19" i="12" s="1"/>
  <c r="D9" i="11"/>
  <c r="C10" i="11"/>
  <c r="B9" i="11"/>
  <c r="G8" i="11"/>
  <c r="H8" i="11" s="1"/>
  <c r="E8" i="11"/>
  <c r="F8" i="11" s="1"/>
  <c r="D13" i="10"/>
  <c r="E10" i="10"/>
  <c r="C109" i="9"/>
  <c r="C107" i="9"/>
  <c r="C9" i="6"/>
  <c r="B10" i="6"/>
  <c r="D9" i="6"/>
  <c r="E9" i="6" s="1"/>
  <c r="I9" i="6" s="1"/>
  <c r="F19" i="12" l="1"/>
  <c r="B20" i="12"/>
  <c r="D20" i="12" s="1"/>
  <c r="A21" i="12"/>
  <c r="C20" i="12"/>
  <c r="E20" i="12" s="1"/>
  <c r="G9" i="11"/>
  <c r="H9" i="11" s="1"/>
  <c r="E9" i="11"/>
  <c r="F9" i="11" s="1"/>
  <c r="B10" i="11"/>
  <c r="C11" i="11"/>
  <c r="D10" i="11"/>
  <c r="F10" i="10"/>
  <c r="D14" i="10"/>
  <c r="F10" i="6"/>
  <c r="G10" i="6" s="1"/>
  <c r="H10" i="6" s="1"/>
  <c r="D10" i="6"/>
  <c r="B11" i="6"/>
  <c r="C10" i="6"/>
  <c r="B21" i="12" l="1"/>
  <c r="D21" i="12" s="1"/>
  <c r="C21" i="12"/>
  <c r="E21" i="12" s="1"/>
  <c r="F20" i="12"/>
  <c r="C12" i="11"/>
  <c r="D11" i="11"/>
  <c r="B11" i="11"/>
  <c r="G10" i="11"/>
  <c r="H10" i="11" s="1"/>
  <c r="E10" i="11"/>
  <c r="F10" i="11" s="1"/>
  <c r="D15" i="10"/>
  <c r="G10" i="10"/>
  <c r="C11" i="10" s="1"/>
  <c r="D11" i="6"/>
  <c r="B12" i="6"/>
  <c r="F11" i="6"/>
  <c r="G11" i="6" s="1"/>
  <c r="H11" i="6" s="1"/>
  <c r="C11" i="6"/>
  <c r="E10" i="6"/>
  <c r="I10" i="6" s="1"/>
  <c r="F21" i="12" l="1"/>
  <c r="G11" i="11"/>
  <c r="H11" i="11" s="1"/>
  <c r="B12" i="11"/>
  <c r="E11" i="11"/>
  <c r="F11" i="11" s="1"/>
  <c r="D12" i="11"/>
  <c r="C13" i="11"/>
  <c r="E11" i="10"/>
  <c r="D16" i="10"/>
  <c r="F12" i="6"/>
  <c r="G12" i="6" s="1"/>
  <c r="H12" i="6" s="1"/>
  <c r="D12" i="6"/>
  <c r="B13" i="6"/>
  <c r="C12" i="6"/>
  <c r="E11" i="6"/>
  <c r="I11" i="6" s="1"/>
  <c r="C14" i="11" l="1"/>
  <c r="D13" i="11"/>
  <c r="B13" i="11"/>
  <c r="G12" i="11"/>
  <c r="H12" i="11" s="1"/>
  <c r="E12" i="11"/>
  <c r="F12" i="11" s="1"/>
  <c r="D17" i="10"/>
  <c r="F11" i="10"/>
  <c r="F13" i="6"/>
  <c r="G13" i="6" s="1"/>
  <c r="H13" i="6" s="1"/>
  <c r="D13" i="6"/>
  <c r="C13" i="6"/>
  <c r="B14" i="6"/>
  <c r="E12" i="6"/>
  <c r="I12" i="6" s="1"/>
  <c r="B14" i="11" l="1"/>
  <c r="G13" i="11"/>
  <c r="H13" i="11" s="1"/>
  <c r="E13" i="11"/>
  <c r="F13" i="11" s="1"/>
  <c r="D14" i="11"/>
  <c r="C15" i="11"/>
  <c r="G11" i="10"/>
  <c r="C12" i="10" s="1"/>
  <c r="D18" i="10"/>
  <c r="F14" i="6"/>
  <c r="G14" i="6" s="1"/>
  <c r="H14" i="6" s="1"/>
  <c r="D14" i="6"/>
  <c r="B15" i="6"/>
  <c r="C14" i="6"/>
  <c r="E13" i="6"/>
  <c r="I13" i="6" s="1"/>
  <c r="C16" i="11" l="1"/>
  <c r="D15" i="11"/>
  <c r="G14" i="11"/>
  <c r="H14" i="11" s="1"/>
  <c r="E14" i="11"/>
  <c r="F14" i="11" s="1"/>
  <c r="B15" i="11"/>
  <c r="D19" i="10"/>
  <c r="E12" i="10"/>
  <c r="B16" i="6"/>
  <c r="F15" i="6"/>
  <c r="G15" i="6" s="1"/>
  <c r="H15" i="6" s="1"/>
  <c r="D15" i="6"/>
  <c r="C15" i="6"/>
  <c r="E14" i="6"/>
  <c r="I14" i="6" s="1"/>
  <c r="B16" i="11" l="1"/>
  <c r="G15" i="11"/>
  <c r="H15" i="11" s="1"/>
  <c r="E15" i="11"/>
  <c r="F15" i="11" s="1"/>
  <c r="C17" i="11"/>
  <c r="D16" i="11"/>
  <c r="F12" i="10"/>
  <c r="D20" i="10"/>
  <c r="E15" i="6"/>
  <c r="I15" i="6" s="1"/>
  <c r="F16" i="6"/>
  <c r="G16" i="6" s="1"/>
  <c r="H16" i="6" s="1"/>
  <c r="D16" i="6"/>
  <c r="B17" i="6"/>
  <c r="C16" i="6"/>
  <c r="C18" i="11" l="1"/>
  <c r="D17" i="11"/>
  <c r="B17" i="11"/>
  <c r="G16" i="11"/>
  <c r="H16" i="11" s="1"/>
  <c r="E16" i="11"/>
  <c r="F16" i="11" s="1"/>
  <c r="D21" i="10"/>
  <c r="G12" i="10"/>
  <c r="C13" i="10" s="1"/>
  <c r="D17" i="6"/>
  <c r="F17" i="6"/>
  <c r="G17" i="6" s="1"/>
  <c r="H17" i="6" s="1"/>
  <c r="B18" i="6"/>
  <c r="C17" i="6"/>
  <c r="E16" i="6"/>
  <c r="I16" i="6" s="1"/>
  <c r="G17" i="11" l="1"/>
  <c r="H17" i="11" s="1"/>
  <c r="E17" i="11"/>
  <c r="F17" i="11" s="1"/>
  <c r="B18" i="11"/>
  <c r="D18" i="11"/>
  <c r="C19" i="11"/>
  <c r="E13" i="10"/>
  <c r="F13" i="10" s="1"/>
  <c r="D22" i="10"/>
  <c r="B19" i="6"/>
  <c r="D18" i="6"/>
  <c r="F18" i="6"/>
  <c r="G18" i="6" s="1"/>
  <c r="H18" i="6" s="1"/>
  <c r="C18" i="6"/>
  <c r="E17" i="6"/>
  <c r="I17" i="6" s="1"/>
  <c r="D19" i="11" l="1"/>
  <c r="C20" i="11"/>
  <c r="B19" i="11"/>
  <c r="G18" i="11"/>
  <c r="H18" i="11" s="1"/>
  <c r="E18" i="11"/>
  <c r="F18" i="11" s="1"/>
  <c r="D23" i="10"/>
  <c r="G13" i="10"/>
  <c r="C14" i="10" s="1"/>
  <c r="E18" i="6"/>
  <c r="I18" i="6" s="1"/>
  <c r="F19" i="6"/>
  <c r="G19" i="6" s="1"/>
  <c r="H19" i="6" s="1"/>
  <c r="B20" i="6"/>
  <c r="D19" i="6"/>
  <c r="C19" i="6"/>
  <c r="G19" i="11" l="1"/>
  <c r="H19" i="11" s="1"/>
  <c r="E19" i="11"/>
  <c r="F19" i="11" s="1"/>
  <c r="B20" i="11"/>
  <c r="D20" i="11"/>
  <c r="C21" i="11"/>
  <c r="E14" i="10"/>
  <c r="F14" i="10" s="1"/>
  <c r="G14" i="10" s="1"/>
  <c r="C15" i="10" s="1"/>
  <c r="D24" i="10"/>
  <c r="E19" i="6"/>
  <c r="I19" i="6" s="1"/>
  <c r="D20" i="6"/>
  <c r="F20" i="6"/>
  <c r="G20" i="6" s="1"/>
  <c r="H20" i="6" s="1"/>
  <c r="C20" i="6"/>
  <c r="B21" i="6"/>
  <c r="C22" i="11" l="1"/>
  <c r="D21" i="11"/>
  <c r="E20" i="11"/>
  <c r="F20" i="11" s="1"/>
  <c r="B21" i="11"/>
  <c r="G20" i="11"/>
  <c r="H20" i="11" s="1"/>
  <c r="D25" i="10"/>
  <c r="E15" i="10"/>
  <c r="F15" i="10" s="1"/>
  <c r="G15" i="10" s="1"/>
  <c r="C16" i="10" s="1"/>
  <c r="B22" i="6"/>
  <c r="F21" i="6"/>
  <c r="G21" i="6" s="1"/>
  <c r="H21" i="6" s="1"/>
  <c r="D21" i="6"/>
  <c r="C21" i="6"/>
  <c r="E20" i="6"/>
  <c r="I20" i="6" s="1"/>
  <c r="B22" i="11" l="1"/>
  <c r="G21" i="11"/>
  <c r="H21" i="11" s="1"/>
  <c r="E21" i="11"/>
  <c r="F21" i="11" s="1"/>
  <c r="C23" i="11"/>
  <c r="D22" i="11"/>
  <c r="E16" i="10"/>
  <c r="F16" i="10" s="1"/>
  <c r="G16" i="10" s="1"/>
  <c r="C17" i="10" s="1"/>
  <c r="D26" i="10"/>
  <c r="E21" i="6"/>
  <c r="I21" i="6" s="1"/>
  <c r="D22" i="6"/>
  <c r="F22" i="6"/>
  <c r="G22" i="6" s="1"/>
  <c r="H22" i="6" s="1"/>
  <c r="B23" i="6"/>
  <c r="C22" i="6"/>
  <c r="C24" i="11" l="1"/>
  <c r="D23" i="11"/>
  <c r="E22" i="11"/>
  <c r="F22" i="11" s="1"/>
  <c r="B23" i="11"/>
  <c r="G22" i="11"/>
  <c r="H22" i="11" s="1"/>
  <c r="E17" i="10"/>
  <c r="F17" i="10" s="1"/>
  <c r="G17" i="10" s="1"/>
  <c r="C18" i="10" s="1"/>
  <c r="D27" i="10"/>
  <c r="F23" i="6"/>
  <c r="G23" i="6" s="1"/>
  <c r="H23" i="6" s="1"/>
  <c r="B24" i="6"/>
  <c r="D23" i="6"/>
  <c r="C23" i="6"/>
  <c r="E22" i="6"/>
  <c r="I22" i="6" s="1"/>
  <c r="B24" i="11" l="1"/>
  <c r="G23" i="11"/>
  <c r="H23" i="11" s="1"/>
  <c r="E23" i="11"/>
  <c r="F23" i="11" s="1"/>
  <c r="D24" i="11"/>
  <c r="C25" i="11"/>
  <c r="D28" i="10"/>
  <c r="E18" i="10"/>
  <c r="F18" i="10" s="1"/>
  <c r="G18" i="10" s="1"/>
  <c r="C19" i="10" s="1"/>
  <c r="E23" i="6"/>
  <c r="I23" i="6" s="1"/>
  <c r="D24" i="6"/>
  <c r="F24" i="6"/>
  <c r="G24" i="6" s="1"/>
  <c r="H24" i="6" s="1"/>
  <c r="B25" i="6"/>
  <c r="C24" i="6"/>
  <c r="D25" i="11" l="1"/>
  <c r="C26" i="11"/>
  <c r="G24" i="11"/>
  <c r="H24" i="11" s="1"/>
  <c r="E24" i="11"/>
  <c r="F24" i="11" s="1"/>
  <c r="B25" i="11"/>
  <c r="E19" i="10"/>
  <c r="F19" i="10" s="1"/>
  <c r="G19" i="10" s="1"/>
  <c r="C20" i="10" s="1"/>
  <c r="D29" i="10"/>
  <c r="B26" i="6"/>
  <c r="D25" i="6"/>
  <c r="F25" i="6"/>
  <c r="G25" i="6" s="1"/>
  <c r="H25" i="6" s="1"/>
  <c r="C25" i="6"/>
  <c r="E24" i="6"/>
  <c r="I24" i="6" s="1"/>
  <c r="E25" i="11" l="1"/>
  <c r="F25" i="11" s="1"/>
  <c r="B26" i="11"/>
  <c r="G25" i="11"/>
  <c r="H25" i="11" s="1"/>
  <c r="C27" i="11"/>
  <c r="D26" i="11"/>
  <c r="D30" i="10"/>
  <c r="E20" i="10"/>
  <c r="F20" i="10" s="1"/>
  <c r="G20" i="10" s="1"/>
  <c r="C21" i="10" s="1"/>
  <c r="E25" i="6"/>
  <c r="I25" i="6" s="1"/>
  <c r="B27" i="6"/>
  <c r="F26" i="6"/>
  <c r="G26" i="6" s="1"/>
  <c r="H26" i="6" s="1"/>
  <c r="D26" i="6"/>
  <c r="C26" i="6"/>
  <c r="D27" i="11" l="1"/>
  <c r="C28" i="11"/>
  <c r="G26" i="11"/>
  <c r="H26" i="11" s="1"/>
  <c r="B27" i="11"/>
  <c r="E26" i="11"/>
  <c r="F26" i="11" s="1"/>
  <c r="E21" i="10"/>
  <c r="F21" i="10" s="1"/>
  <c r="G21" i="10" s="1"/>
  <c r="C22" i="10" s="1"/>
  <c r="D31" i="10"/>
  <c r="E26" i="6"/>
  <c r="I26" i="6" s="1"/>
  <c r="B28" i="6"/>
  <c r="F27" i="6"/>
  <c r="G27" i="6" s="1"/>
  <c r="H27" i="6" s="1"/>
  <c r="D27" i="6"/>
  <c r="C27" i="6"/>
  <c r="B28" i="11" l="1"/>
  <c r="G27" i="11"/>
  <c r="H27" i="11" s="1"/>
  <c r="E27" i="11"/>
  <c r="F27" i="11" s="1"/>
  <c r="C29" i="11"/>
  <c r="D28" i="11"/>
  <c r="D32" i="10"/>
  <c r="E22" i="10"/>
  <c r="F22" i="10" s="1"/>
  <c r="G22" i="10" s="1"/>
  <c r="C23" i="10" s="1"/>
  <c r="E27" i="6"/>
  <c r="I27" i="6" s="1"/>
  <c r="B29" i="6"/>
  <c r="F28" i="6"/>
  <c r="G28" i="6" s="1"/>
  <c r="H28" i="6" s="1"/>
  <c r="D28" i="6"/>
  <c r="C28" i="6"/>
  <c r="D29" i="11" l="1"/>
  <c r="C30" i="11"/>
  <c r="B29" i="11"/>
  <c r="G28" i="11"/>
  <c r="H28" i="11" s="1"/>
  <c r="E28" i="11"/>
  <c r="F28" i="11" s="1"/>
  <c r="E23" i="10"/>
  <c r="F23" i="10" s="1"/>
  <c r="G23" i="10" s="1"/>
  <c r="C24" i="10" s="1"/>
  <c r="D33" i="10"/>
  <c r="E28" i="6"/>
  <c r="I28" i="6" s="1"/>
  <c r="F29" i="6"/>
  <c r="G29" i="6" s="1"/>
  <c r="H29" i="6" s="1"/>
  <c r="D29" i="6"/>
  <c r="C29" i="6"/>
  <c r="B30" i="6"/>
  <c r="G29" i="11" l="1"/>
  <c r="H29" i="11" s="1"/>
  <c r="E29" i="11"/>
  <c r="F29" i="11" s="1"/>
  <c r="B30" i="11"/>
  <c r="C31" i="11"/>
  <c r="D30" i="11"/>
  <c r="E24" i="10"/>
  <c r="F24" i="10" s="1"/>
  <c r="G24" i="10" s="1"/>
  <c r="C25" i="10" s="1"/>
  <c r="D34" i="10"/>
  <c r="D30" i="6"/>
  <c r="F30" i="6"/>
  <c r="G30" i="6" s="1"/>
  <c r="H30" i="6" s="1"/>
  <c r="B31" i="6"/>
  <c r="C30" i="6"/>
  <c r="E29" i="6"/>
  <c r="I29" i="6" s="1"/>
  <c r="C32" i="11" l="1"/>
  <c r="D31" i="11"/>
  <c r="B31" i="11"/>
  <c r="G30" i="11"/>
  <c r="H30" i="11" s="1"/>
  <c r="E30" i="11"/>
  <c r="F30" i="11" s="1"/>
  <c r="D35" i="10"/>
  <c r="E25" i="10"/>
  <c r="F25" i="10" s="1"/>
  <c r="G25" i="10" s="1"/>
  <c r="C26" i="10" s="1"/>
  <c r="B32" i="6"/>
  <c r="D31" i="6"/>
  <c r="F31" i="6"/>
  <c r="G31" i="6" s="1"/>
  <c r="H31" i="6" s="1"/>
  <c r="C31" i="6"/>
  <c r="E30" i="6"/>
  <c r="I30" i="6" s="1"/>
  <c r="B32" i="11" l="1"/>
  <c r="G31" i="11"/>
  <c r="H31" i="11" s="1"/>
  <c r="E31" i="11"/>
  <c r="F31" i="11" s="1"/>
  <c r="C33" i="11"/>
  <c r="D32" i="11"/>
  <c r="E26" i="10"/>
  <c r="F26" i="10" s="1"/>
  <c r="G26" i="10" s="1"/>
  <c r="C27" i="10" s="1"/>
  <c r="D36" i="10"/>
  <c r="E31" i="6"/>
  <c r="I31" i="6" s="1"/>
  <c r="B33" i="6"/>
  <c r="F32" i="6"/>
  <c r="G32" i="6" s="1"/>
  <c r="H32" i="6" s="1"/>
  <c r="D32" i="6"/>
  <c r="C32" i="6"/>
  <c r="D33" i="11" l="1"/>
  <c r="C34" i="11"/>
  <c r="B33" i="11"/>
  <c r="G32" i="11"/>
  <c r="H32" i="11" s="1"/>
  <c r="E32" i="11"/>
  <c r="F32" i="11" s="1"/>
  <c r="E27" i="10"/>
  <c r="F27" i="10" s="1"/>
  <c r="G27" i="10" s="1"/>
  <c r="C28" i="10" s="1"/>
  <c r="D37" i="10"/>
  <c r="E32" i="6"/>
  <c r="I32" i="6" s="1"/>
  <c r="B34" i="6"/>
  <c r="F33" i="6"/>
  <c r="G33" i="6" s="1"/>
  <c r="H33" i="6" s="1"/>
  <c r="D33" i="6"/>
  <c r="C33" i="6"/>
  <c r="B34" i="11" l="1"/>
  <c r="G33" i="11"/>
  <c r="H33" i="11" s="1"/>
  <c r="E33" i="11"/>
  <c r="F33" i="11" s="1"/>
  <c r="D34" i="11"/>
  <c r="C35" i="11"/>
  <c r="E28" i="10"/>
  <c r="F28" i="10" s="1"/>
  <c r="G28" i="10" s="1"/>
  <c r="C29" i="10" s="1"/>
  <c r="D38" i="10"/>
  <c r="E33" i="6"/>
  <c r="I33" i="6" s="1"/>
  <c r="B35" i="6"/>
  <c r="F34" i="6"/>
  <c r="G34" i="6" s="1"/>
  <c r="H34" i="6" s="1"/>
  <c r="D34" i="6"/>
  <c r="C34" i="6"/>
  <c r="D35" i="11" l="1"/>
  <c r="C36" i="11"/>
  <c r="G34" i="11"/>
  <c r="H34" i="11" s="1"/>
  <c r="E34" i="11"/>
  <c r="F34" i="11" s="1"/>
  <c r="B35" i="11"/>
  <c r="D39" i="10"/>
  <c r="E29" i="10"/>
  <c r="F29" i="10" s="1"/>
  <c r="G29" i="10" s="1"/>
  <c r="C30" i="10" s="1"/>
  <c r="E34" i="6"/>
  <c r="I34" i="6" s="1"/>
  <c r="B36" i="6"/>
  <c r="F35" i="6"/>
  <c r="G35" i="6" s="1"/>
  <c r="H35" i="6" s="1"/>
  <c r="D35" i="6"/>
  <c r="C35" i="6"/>
  <c r="E35" i="11" l="1"/>
  <c r="F35" i="11" s="1"/>
  <c r="B36" i="11"/>
  <c r="G35" i="11"/>
  <c r="H35" i="11" s="1"/>
  <c r="C37" i="11"/>
  <c r="D36" i="11"/>
  <c r="E30" i="10"/>
  <c r="F30" i="10" s="1"/>
  <c r="G30" i="10" s="1"/>
  <c r="C31" i="10" s="1"/>
  <c r="D40" i="10"/>
  <c r="E35" i="6"/>
  <c r="I35" i="6" s="1"/>
  <c r="D36" i="6"/>
  <c r="B37" i="6"/>
  <c r="F36" i="6"/>
  <c r="G36" i="6" s="1"/>
  <c r="H36" i="6" s="1"/>
  <c r="C36" i="6"/>
  <c r="D37" i="11" l="1"/>
  <c r="C38" i="11"/>
  <c r="B37" i="11"/>
  <c r="G36" i="11"/>
  <c r="H36" i="11" s="1"/>
  <c r="E36" i="11"/>
  <c r="F36" i="11" s="1"/>
  <c r="E31" i="10"/>
  <c r="F31" i="10" s="1"/>
  <c r="G31" i="10" s="1"/>
  <c r="C32" i="10" s="1"/>
  <c r="D41" i="10"/>
  <c r="D37" i="6"/>
  <c r="F37" i="6"/>
  <c r="G37" i="6" s="1"/>
  <c r="H37" i="6" s="1"/>
  <c r="C37" i="6"/>
  <c r="E36" i="6"/>
  <c r="I36" i="6" s="1"/>
  <c r="G37" i="11" l="1"/>
  <c r="H37" i="11" s="1"/>
  <c r="E37" i="11"/>
  <c r="F37" i="11" s="1"/>
  <c r="B38" i="11"/>
  <c r="C39" i="11"/>
  <c r="D38" i="11"/>
  <c r="E32" i="10"/>
  <c r="F32" i="10" s="1"/>
  <c r="G32" i="10" s="1"/>
  <c r="C33" i="10" s="1"/>
  <c r="D42" i="10"/>
  <c r="E37" i="6"/>
  <c r="I37" i="6" s="1"/>
  <c r="D39" i="11" l="1"/>
  <c r="C40" i="11"/>
  <c r="B39" i="11"/>
  <c r="G38" i="11"/>
  <c r="H38" i="11" s="1"/>
  <c r="E38" i="11"/>
  <c r="F38" i="11" s="1"/>
  <c r="E33" i="10"/>
  <c r="F33" i="10" s="1"/>
  <c r="G33" i="10" s="1"/>
  <c r="C34" i="10" s="1"/>
  <c r="D43" i="10"/>
  <c r="F20" i="5"/>
  <c r="E20" i="5"/>
  <c r="D20" i="5"/>
  <c r="C20" i="5"/>
  <c r="F18" i="5"/>
  <c r="F19" i="5" s="1"/>
  <c r="F21" i="5" s="1"/>
  <c r="E17" i="5"/>
  <c r="E19" i="5" s="1"/>
  <c r="E21" i="5" s="1"/>
  <c r="D16" i="5"/>
  <c r="D19" i="5" s="1"/>
  <c r="F5" i="5"/>
  <c r="F8" i="5" s="1"/>
  <c r="E5" i="5"/>
  <c r="E8" i="5" s="1"/>
  <c r="D5" i="5"/>
  <c r="C16" i="5" s="1"/>
  <c r="G39" i="11" l="1"/>
  <c r="H39" i="11" s="1"/>
  <c r="B40" i="11"/>
  <c r="E39" i="11"/>
  <c r="F39" i="11" s="1"/>
  <c r="D40" i="11"/>
  <c r="C41" i="11"/>
  <c r="E34" i="10"/>
  <c r="F34" i="10" s="1"/>
  <c r="G34" i="10" s="1"/>
  <c r="C35" i="10" s="1"/>
  <c r="D44" i="10"/>
  <c r="C17" i="5"/>
  <c r="D8" i="5"/>
  <c r="C9" i="5" s="1"/>
  <c r="C18" i="5"/>
  <c r="C42" i="11" l="1"/>
  <c r="D41" i="11"/>
  <c r="G40" i="11"/>
  <c r="H40" i="11" s="1"/>
  <c r="E40" i="11"/>
  <c r="F40" i="11" s="1"/>
  <c r="B41" i="11"/>
  <c r="D45" i="10"/>
  <c r="E35" i="10"/>
  <c r="F35" i="10" s="1"/>
  <c r="G35" i="10" s="1"/>
  <c r="C36" i="10" s="1"/>
  <c r="C19" i="5"/>
  <c r="C21" i="5" s="1"/>
  <c r="E25" i="4"/>
  <c r="D25" i="4"/>
  <c r="D18" i="4"/>
  <c r="E17" i="4"/>
  <c r="D16" i="4"/>
  <c r="F13" i="4"/>
  <c r="C22" i="4"/>
  <c r="J22" i="4" s="1"/>
  <c r="K9" i="4"/>
  <c r="I9" i="4"/>
  <c r="J9" i="4" s="1"/>
  <c r="K8" i="4"/>
  <c r="I8" i="4"/>
  <c r="J8" i="4" s="1"/>
  <c r="K7" i="4"/>
  <c r="I7" i="4"/>
  <c r="J7" i="4" s="1"/>
  <c r="B42" i="11" l="1"/>
  <c r="G41" i="11"/>
  <c r="H41" i="11" s="1"/>
  <c r="E41" i="11"/>
  <c r="F41" i="11" s="1"/>
  <c r="D42" i="11"/>
  <c r="C43" i="11"/>
  <c r="E36" i="10"/>
  <c r="F36" i="10" s="1"/>
  <c r="G36" i="10" s="1"/>
  <c r="C37" i="10" s="1"/>
  <c r="D46" i="10"/>
  <c r="G17" i="3"/>
  <c r="G18" i="3" s="1"/>
  <c r="G19" i="3" s="1"/>
  <c r="G20" i="3" s="1"/>
  <c r="G21" i="3" s="1"/>
  <c r="G22" i="3" s="1"/>
  <c r="G23" i="3" s="1"/>
  <c r="G24" i="3" s="1"/>
  <c r="G25" i="3" s="1"/>
  <c r="C17" i="3"/>
  <c r="C18" i="3" s="1"/>
  <c r="C19" i="3" s="1"/>
  <c r="C20" i="3" s="1"/>
  <c r="H13" i="3"/>
  <c r="H20" i="3" s="1"/>
  <c r="D19" i="3"/>
  <c r="H23" i="3" l="1"/>
  <c r="C44" i="11"/>
  <c r="D43" i="11"/>
  <c r="E42" i="11"/>
  <c r="F42" i="11" s="1"/>
  <c r="B43" i="11"/>
  <c r="G42" i="11"/>
  <c r="H42" i="11" s="1"/>
  <c r="E37" i="10"/>
  <c r="F37" i="10" s="1"/>
  <c r="G37" i="10" s="1"/>
  <c r="C38" i="10" s="1"/>
  <c r="D47" i="10"/>
  <c r="H19" i="3"/>
  <c r="D17" i="3"/>
  <c r="E17" i="3" s="1"/>
  <c r="D18" i="3"/>
  <c r="H21" i="3"/>
  <c r="E27" i="3"/>
  <c r="D12" i="3"/>
  <c r="E32" i="3"/>
  <c r="H12" i="3"/>
  <c r="I32" i="3"/>
  <c r="E18" i="3"/>
  <c r="D20" i="3"/>
  <c r="E20" i="3" s="1"/>
  <c r="D16" i="3"/>
  <c r="H17" i="3"/>
  <c r="H22" i="3"/>
  <c r="H18" i="3"/>
  <c r="H24" i="3"/>
  <c r="I27" i="3"/>
  <c r="H25" i="3"/>
  <c r="H16" i="3"/>
  <c r="B44" i="11" l="1"/>
  <c r="G43" i="11"/>
  <c r="H43" i="11" s="1"/>
  <c r="E43" i="11"/>
  <c r="F43" i="11" s="1"/>
  <c r="D44" i="11"/>
  <c r="C45" i="11"/>
  <c r="E38" i="10"/>
  <c r="F38" i="10" s="1"/>
  <c r="G38" i="10" s="1"/>
  <c r="C39" i="10" s="1"/>
  <c r="D48" i="10"/>
  <c r="I35" i="3"/>
  <c r="E35" i="3"/>
  <c r="E16" i="3"/>
  <c r="E26" i="3" s="1"/>
  <c r="E28" i="3" s="1"/>
  <c r="E29" i="3" s="1"/>
  <c r="E33" i="3"/>
  <c r="E34" i="3" s="1"/>
  <c r="I26" i="3"/>
  <c r="I28" i="3" s="1"/>
  <c r="I29" i="3" s="1"/>
  <c r="I33" i="3"/>
  <c r="I34" i="3" s="1"/>
  <c r="C44" i="2"/>
  <c r="C26" i="2"/>
  <c r="B13" i="2"/>
  <c r="B14" i="2" s="1"/>
  <c r="B15" i="2" s="1"/>
  <c r="B16" i="2" s="1"/>
  <c r="B17" i="2" s="1"/>
  <c r="B18" i="2" s="1"/>
  <c r="B19" i="2" s="1"/>
  <c r="B20" i="2" s="1"/>
  <c r="B21" i="2" s="1"/>
  <c r="B22" i="2" s="1"/>
  <c r="B23" i="2" s="1"/>
  <c r="B24" i="2" s="1"/>
  <c r="B25" i="2" s="1"/>
  <c r="B26" i="2" s="1"/>
  <c r="B27" i="2" s="1"/>
  <c r="B28" i="2" s="1"/>
  <c r="B29" i="2" s="1"/>
  <c r="B30" i="2" s="1"/>
  <c r="B31" i="2" s="1"/>
  <c r="B32" i="2" s="1"/>
  <c r="B33" i="2" s="1"/>
  <c r="B34" i="2" s="1"/>
  <c r="B35" i="2" s="1"/>
  <c r="B36" i="2" s="1"/>
  <c r="B37" i="2" s="1"/>
  <c r="B38" i="2" s="1"/>
  <c r="B39" i="2" s="1"/>
  <c r="B40" i="2" s="1"/>
  <c r="E11" i="2"/>
  <c r="F11" i="2" s="1"/>
  <c r="G11" i="2" s="1"/>
  <c r="H11" i="2" s="1"/>
  <c r="C30" i="2"/>
  <c r="C46" i="11" l="1"/>
  <c r="D45" i="11"/>
  <c r="G44" i="11"/>
  <c r="H44" i="11" s="1"/>
  <c r="E44" i="11"/>
  <c r="F44" i="11" s="1"/>
  <c r="B45" i="11"/>
  <c r="E39" i="10"/>
  <c r="F39" i="10" s="1"/>
  <c r="G39" i="10" s="1"/>
  <c r="C40" i="10" s="1"/>
  <c r="D49" i="10"/>
  <c r="C17" i="2"/>
  <c r="E17" i="2" s="1"/>
  <c r="C21" i="2"/>
  <c r="C35" i="2"/>
  <c r="G35" i="2" s="1"/>
  <c r="C13" i="2"/>
  <c r="H13" i="2" s="1"/>
  <c r="C14" i="2"/>
  <c r="I14" i="2" s="1"/>
  <c r="C20" i="2"/>
  <c r="J20" i="2" s="1"/>
  <c r="C27" i="2"/>
  <c r="F27" i="2" s="1"/>
  <c r="E30" i="2"/>
  <c r="D30" i="2"/>
  <c r="G30" i="2"/>
  <c r="F30" i="2"/>
  <c r="H30" i="2"/>
  <c r="J30" i="2"/>
  <c r="H17" i="2"/>
  <c r="I11" i="2"/>
  <c r="I26" i="2" s="1"/>
  <c r="B44" i="2"/>
  <c r="I44" i="2" s="1"/>
  <c r="B41" i="2"/>
  <c r="G17" i="2"/>
  <c r="E14" i="2"/>
  <c r="D14" i="2"/>
  <c r="H26" i="2"/>
  <c r="C19" i="2"/>
  <c r="C25" i="2"/>
  <c r="G21" i="2"/>
  <c r="D26" i="2"/>
  <c r="D35" i="2"/>
  <c r="C41" i="2"/>
  <c r="C12" i="2"/>
  <c r="C18" i="2"/>
  <c r="E26" i="2"/>
  <c r="C34" i="2"/>
  <c r="D21" i="2"/>
  <c r="I35" i="2"/>
  <c r="F21" i="2"/>
  <c r="E21" i="2"/>
  <c r="F26" i="2"/>
  <c r="C48" i="2"/>
  <c r="C40" i="2"/>
  <c r="C32" i="2"/>
  <c r="C24" i="2"/>
  <c r="C16" i="2"/>
  <c r="C39" i="2"/>
  <c r="C31" i="2"/>
  <c r="C23" i="2"/>
  <c r="C15" i="2"/>
  <c r="C38" i="2"/>
  <c r="G26" i="2"/>
  <c r="C33" i="2"/>
  <c r="C37" i="2"/>
  <c r="C7" i="2"/>
  <c r="J26" i="2"/>
  <c r="C29" i="2"/>
  <c r="J17" i="2"/>
  <c r="I17" i="2"/>
  <c r="C22" i="2"/>
  <c r="C28" i="2"/>
  <c r="C36" i="2"/>
  <c r="J14" i="2" l="1"/>
  <c r="I21" i="2"/>
  <c r="E13" i="2"/>
  <c r="I27" i="2"/>
  <c r="I13" i="2"/>
  <c r="G44" i="2"/>
  <c r="E44" i="2"/>
  <c r="F13" i="2"/>
  <c r="J35" i="2"/>
  <c r="H35" i="2"/>
  <c r="G13" i="2"/>
  <c r="H21" i="2"/>
  <c r="E27" i="2"/>
  <c r="E35" i="2"/>
  <c r="I20" i="2"/>
  <c r="F20" i="2"/>
  <c r="H14" i="2"/>
  <c r="H44" i="2"/>
  <c r="G27" i="2"/>
  <c r="D20" i="2"/>
  <c r="I30" i="2"/>
  <c r="F17" i="2"/>
  <c r="J21" i="2"/>
  <c r="G14" i="2"/>
  <c r="F14" i="2"/>
  <c r="J13" i="2"/>
  <c r="D17" i="2"/>
  <c r="H20" i="2"/>
  <c r="D13" i="2"/>
  <c r="B46" i="11"/>
  <c r="G45" i="11"/>
  <c r="H45" i="11" s="1"/>
  <c r="E45" i="11"/>
  <c r="F45" i="11" s="1"/>
  <c r="D46" i="11"/>
  <c r="C47" i="11"/>
  <c r="D50" i="10"/>
  <c r="E40" i="10"/>
  <c r="F40" i="10" s="1"/>
  <c r="G40" i="10" s="1"/>
  <c r="C41" i="10" s="1"/>
  <c r="H27" i="2"/>
  <c r="J27" i="2"/>
  <c r="D27" i="2"/>
  <c r="F35" i="2"/>
  <c r="G20" i="2"/>
  <c r="E20" i="2"/>
  <c r="G28" i="2"/>
  <c r="F28" i="2"/>
  <c r="J28" i="2"/>
  <c r="I28" i="2"/>
  <c r="D28" i="2"/>
  <c r="H28" i="2"/>
  <c r="E28" i="2"/>
  <c r="D31" i="2"/>
  <c r="J31" i="2"/>
  <c r="I31" i="2"/>
  <c r="H31" i="2"/>
  <c r="G31" i="2"/>
  <c r="F31" i="2"/>
  <c r="E31" i="2"/>
  <c r="I34" i="2"/>
  <c r="H34" i="2"/>
  <c r="G34" i="2"/>
  <c r="J34" i="2"/>
  <c r="F34" i="2"/>
  <c r="E34" i="2"/>
  <c r="D34" i="2"/>
  <c r="J41" i="2"/>
  <c r="I41" i="2"/>
  <c r="H41" i="2"/>
  <c r="G41" i="2"/>
  <c r="F41" i="2"/>
  <c r="E41" i="2"/>
  <c r="D41" i="2"/>
  <c r="D39" i="2"/>
  <c r="J39" i="2"/>
  <c r="F39" i="2"/>
  <c r="I39" i="2"/>
  <c r="H39" i="2"/>
  <c r="E39" i="2"/>
  <c r="G39" i="2"/>
  <c r="H19" i="2"/>
  <c r="G19" i="2"/>
  <c r="J19" i="2"/>
  <c r="F19" i="2"/>
  <c r="I19" i="2"/>
  <c r="E19" i="2"/>
  <c r="D19" i="2"/>
  <c r="G36" i="2"/>
  <c r="F36" i="2"/>
  <c r="E36" i="2"/>
  <c r="D36" i="2"/>
  <c r="H36" i="2"/>
  <c r="J36" i="2"/>
  <c r="I36" i="2"/>
  <c r="D23" i="2"/>
  <c r="F23" i="2"/>
  <c r="G23" i="2"/>
  <c r="E23" i="2"/>
  <c r="H23" i="2"/>
  <c r="J23" i="2"/>
  <c r="I23" i="2"/>
  <c r="F44" i="2"/>
  <c r="J33" i="2"/>
  <c r="I33" i="2"/>
  <c r="H33" i="2"/>
  <c r="E33" i="2"/>
  <c r="F33" i="2"/>
  <c r="D33" i="2"/>
  <c r="G33" i="2"/>
  <c r="F29" i="2"/>
  <c r="E29" i="2"/>
  <c r="D29" i="2"/>
  <c r="H29" i="2"/>
  <c r="G29" i="2"/>
  <c r="J29" i="2"/>
  <c r="I29" i="2"/>
  <c r="J25" i="2"/>
  <c r="I25" i="2"/>
  <c r="H25" i="2"/>
  <c r="G25" i="2"/>
  <c r="F25" i="2"/>
  <c r="E25" i="2"/>
  <c r="D25" i="2"/>
  <c r="J44" i="2"/>
  <c r="J32" i="2"/>
  <c r="I32" i="2"/>
  <c r="E32" i="2"/>
  <c r="H32" i="2"/>
  <c r="G32" i="2"/>
  <c r="F32" i="2"/>
  <c r="D32" i="2"/>
  <c r="D15" i="2"/>
  <c r="J15" i="2"/>
  <c r="I15" i="2"/>
  <c r="F15" i="2"/>
  <c r="H15" i="2"/>
  <c r="G15" i="2"/>
  <c r="E15" i="2"/>
  <c r="E22" i="2"/>
  <c r="D22" i="2"/>
  <c r="J22" i="2"/>
  <c r="F22" i="2"/>
  <c r="I22" i="2"/>
  <c r="G22" i="2"/>
  <c r="H22" i="2"/>
  <c r="J16" i="2"/>
  <c r="E16" i="2"/>
  <c r="D16" i="2"/>
  <c r="F16" i="2"/>
  <c r="I16" i="2"/>
  <c r="G16" i="2"/>
  <c r="H16" i="2"/>
  <c r="I18" i="2"/>
  <c r="H18" i="2"/>
  <c r="G18" i="2"/>
  <c r="D18" i="2"/>
  <c r="F18" i="2"/>
  <c r="E18" i="2"/>
  <c r="J18" i="2"/>
  <c r="D44" i="2"/>
  <c r="J24" i="2"/>
  <c r="G24" i="2"/>
  <c r="I24" i="2"/>
  <c r="F24" i="2"/>
  <c r="E24" i="2"/>
  <c r="D24" i="2"/>
  <c r="H24" i="2"/>
  <c r="F37" i="2"/>
  <c r="E37" i="2"/>
  <c r="D37" i="2"/>
  <c r="H37" i="2"/>
  <c r="J37" i="2"/>
  <c r="G37" i="2"/>
  <c r="I37" i="2"/>
  <c r="E38" i="2"/>
  <c r="D38" i="2"/>
  <c r="J38" i="2"/>
  <c r="H38" i="2"/>
  <c r="I38" i="2"/>
  <c r="G38" i="2"/>
  <c r="F38" i="2"/>
  <c r="J40" i="2"/>
  <c r="I40" i="2"/>
  <c r="F40" i="2"/>
  <c r="E40" i="2"/>
  <c r="D40" i="2"/>
  <c r="G40" i="2"/>
  <c r="H40" i="2"/>
  <c r="G12" i="2"/>
  <c r="F12" i="2"/>
  <c r="I12" i="2"/>
  <c r="E12" i="2"/>
  <c r="H12" i="2"/>
  <c r="D12" i="2"/>
  <c r="J12" i="2"/>
  <c r="D47" i="11" l="1"/>
  <c r="C48" i="11"/>
  <c r="B47" i="11"/>
  <c r="G46" i="11"/>
  <c r="H46" i="11" s="1"/>
  <c r="E46" i="11"/>
  <c r="F46" i="11" s="1"/>
  <c r="E41" i="10"/>
  <c r="F41" i="10" s="1"/>
  <c r="G41" i="10" s="1"/>
  <c r="C42" i="10" s="1"/>
  <c r="D51" i="10"/>
  <c r="G42" i="2"/>
  <c r="G45" i="2" s="1"/>
  <c r="G46" i="2" s="1"/>
  <c r="J42" i="2"/>
  <c r="J45" i="2" s="1"/>
  <c r="J46" i="2" s="1"/>
  <c r="H42" i="2"/>
  <c r="H45" i="2" s="1"/>
  <c r="H46" i="2" s="1"/>
  <c r="D42" i="2"/>
  <c r="D45" i="2" s="1"/>
  <c r="D46" i="2" s="1"/>
  <c r="E42" i="2"/>
  <c r="E45" i="2" s="1"/>
  <c r="E46" i="2" s="1"/>
  <c r="I42" i="2"/>
  <c r="I45" i="2" s="1"/>
  <c r="I46" i="2" s="1"/>
  <c r="F42" i="2"/>
  <c r="F45" i="2" s="1"/>
  <c r="F46" i="2" s="1"/>
  <c r="B48" i="11" l="1"/>
  <c r="G47" i="11"/>
  <c r="H47" i="11" s="1"/>
  <c r="E47" i="11"/>
  <c r="F47" i="11" s="1"/>
  <c r="D48" i="11"/>
  <c r="C49" i="11"/>
  <c r="E42" i="10"/>
  <c r="F42" i="10" s="1"/>
  <c r="G42" i="10" s="1"/>
  <c r="C43" i="10" s="1"/>
  <c r="D52" i="10"/>
  <c r="E13" i="1"/>
  <c r="E12" i="1"/>
  <c r="E10" i="1"/>
  <c r="E11" i="1" s="1"/>
  <c r="D49" i="11" l="1"/>
  <c r="C50" i="11"/>
  <c r="E48" i="11"/>
  <c r="F48" i="11" s="1"/>
  <c r="G48" i="11"/>
  <c r="H48" i="11" s="1"/>
  <c r="B49" i="11"/>
  <c r="D53" i="10"/>
  <c r="E43" i="10"/>
  <c r="F43" i="10" s="1"/>
  <c r="G43" i="10" s="1"/>
  <c r="C44" i="10" s="1"/>
  <c r="E16" i="1"/>
  <c r="E20" i="1"/>
  <c r="F20" i="1" s="1"/>
  <c r="E21" i="1"/>
  <c r="F21" i="1" s="1"/>
  <c r="E15" i="1"/>
  <c r="E17" i="1" s="1"/>
  <c r="C12" i="1"/>
  <c r="C11" i="1"/>
  <c r="G49" i="11" l="1"/>
  <c r="H49" i="11" s="1"/>
  <c r="E49" i="11"/>
  <c r="F49" i="11" s="1"/>
  <c r="B50" i="11"/>
  <c r="C51" i="11"/>
  <c r="D50" i="11"/>
  <c r="E44" i="10"/>
  <c r="F44" i="10" s="1"/>
  <c r="G44" i="10" s="1"/>
  <c r="C45" i="10" s="1"/>
  <c r="D54" i="10"/>
  <c r="F22" i="1"/>
  <c r="C20" i="1"/>
  <c r="D20" i="1" s="1"/>
  <c r="C21" i="1"/>
  <c r="D21" i="1" s="1"/>
  <c r="C15" i="1"/>
  <c r="C16" i="1"/>
  <c r="C52" i="11" l="1"/>
  <c r="D51" i="11"/>
  <c r="E50" i="11"/>
  <c r="F50" i="11" s="1"/>
  <c r="B51" i="11"/>
  <c r="G50" i="11"/>
  <c r="H50" i="11" s="1"/>
  <c r="E45" i="10"/>
  <c r="F45" i="10" s="1"/>
  <c r="G45" i="10" s="1"/>
  <c r="C46" i="10" s="1"/>
  <c r="D55" i="10"/>
  <c r="D22" i="1"/>
  <c r="C17" i="1"/>
  <c r="B52" i="11" l="1"/>
  <c r="G51" i="11"/>
  <c r="H51" i="11" s="1"/>
  <c r="E51" i="11"/>
  <c r="F51" i="11" s="1"/>
  <c r="D52" i="11"/>
  <c r="C53" i="11"/>
  <c r="E46" i="10"/>
  <c r="F46" i="10" s="1"/>
  <c r="G46" i="10" s="1"/>
  <c r="C47" i="10" s="1"/>
  <c r="D56" i="10"/>
  <c r="C54" i="11" l="1"/>
  <c r="D53" i="11"/>
  <c r="G52" i="11"/>
  <c r="H52" i="11" s="1"/>
  <c r="B53" i="11"/>
  <c r="E52" i="11"/>
  <c r="F52" i="11" s="1"/>
  <c r="D57" i="10"/>
  <c r="E47" i="10"/>
  <c r="F47" i="10" s="1"/>
  <c r="G47" i="10" s="1"/>
  <c r="C48" i="10" s="1"/>
  <c r="B54" i="11" l="1"/>
  <c r="G53" i="11"/>
  <c r="H53" i="11" s="1"/>
  <c r="E53" i="11"/>
  <c r="F53" i="11" s="1"/>
  <c r="D54" i="11"/>
  <c r="C55" i="11"/>
  <c r="E48" i="10"/>
  <c r="F48" i="10" s="1"/>
  <c r="G48" i="10" s="1"/>
  <c r="C49" i="10" s="1"/>
  <c r="D58" i="10"/>
  <c r="C56" i="11" l="1"/>
  <c r="D55" i="11"/>
  <c r="G54" i="11"/>
  <c r="H54" i="11" s="1"/>
  <c r="B55" i="11"/>
  <c r="E54" i="11"/>
  <c r="F54" i="11" s="1"/>
  <c r="E49" i="10"/>
  <c r="F49" i="10" s="1"/>
  <c r="G49" i="10" s="1"/>
  <c r="C50" i="10" s="1"/>
  <c r="D59" i="10"/>
  <c r="B56" i="11" l="1"/>
  <c r="G55" i="11"/>
  <c r="H55" i="11" s="1"/>
  <c r="E55" i="11"/>
  <c r="F55" i="11" s="1"/>
  <c r="C57" i="11"/>
  <c r="D56" i="11"/>
  <c r="D60" i="10"/>
  <c r="E50" i="10"/>
  <c r="F50" i="10" s="1"/>
  <c r="G50" i="10" s="1"/>
  <c r="C51" i="10" s="1"/>
  <c r="D57" i="11" l="1"/>
  <c r="C58" i="11"/>
  <c r="B57" i="11"/>
  <c r="G56" i="11"/>
  <c r="H56" i="11" s="1"/>
  <c r="E56" i="11"/>
  <c r="F56" i="11" s="1"/>
  <c r="E51" i="10"/>
  <c r="F51" i="10" s="1"/>
  <c r="G51" i="10" s="1"/>
  <c r="C52" i="10" s="1"/>
  <c r="D61" i="10"/>
  <c r="E57" i="11" l="1"/>
  <c r="F57" i="11" s="1"/>
  <c r="B58" i="11"/>
  <c r="G57" i="11"/>
  <c r="H57" i="11" s="1"/>
  <c r="C59" i="11"/>
  <c r="D58" i="11"/>
  <c r="E52" i="10"/>
  <c r="F52" i="10" s="1"/>
  <c r="G52" i="10" s="1"/>
  <c r="C53" i="10" s="1"/>
  <c r="D62" i="10"/>
  <c r="D59" i="11" l="1"/>
  <c r="C60" i="11"/>
  <c r="B59" i="11"/>
  <c r="G58" i="11"/>
  <c r="H58" i="11" s="1"/>
  <c r="E58" i="11"/>
  <c r="F58" i="11" s="1"/>
  <c r="E53" i="10"/>
  <c r="F53" i="10" s="1"/>
  <c r="G53" i="10" s="1"/>
  <c r="C54" i="10" s="1"/>
  <c r="D63" i="10"/>
  <c r="B60" i="11" l="1"/>
  <c r="G59" i="11"/>
  <c r="H59" i="11" s="1"/>
  <c r="E59" i="11"/>
  <c r="F59" i="11" s="1"/>
  <c r="C61" i="11"/>
  <c r="D60" i="11"/>
  <c r="E54" i="10"/>
  <c r="F54" i="10" s="1"/>
  <c r="G54" i="10" s="1"/>
  <c r="C55" i="10" s="1"/>
  <c r="D64" i="10"/>
  <c r="D61" i="11" l="1"/>
  <c r="C62" i="11"/>
  <c r="E60" i="11"/>
  <c r="F60" i="11" s="1"/>
  <c r="B61" i="11"/>
  <c r="G60" i="11"/>
  <c r="H60" i="11" s="1"/>
  <c r="E55" i="10"/>
  <c r="F55" i="10" s="1"/>
  <c r="G55" i="10" s="1"/>
  <c r="C56" i="10" s="1"/>
  <c r="D65" i="10"/>
  <c r="B62" i="11" l="1"/>
  <c r="G61" i="11"/>
  <c r="H61" i="11" s="1"/>
  <c r="E61" i="11"/>
  <c r="F61" i="11" s="1"/>
  <c r="D62" i="11"/>
  <c r="C63" i="11"/>
  <c r="D66" i="10"/>
  <c r="E56" i="10"/>
  <c r="F56" i="10" s="1"/>
  <c r="G56" i="10" s="1"/>
  <c r="C57" i="10" s="1"/>
  <c r="D63" i="11" l="1"/>
  <c r="C64" i="11"/>
  <c r="E62" i="11"/>
  <c r="F62" i="11" s="1"/>
  <c r="B63" i="11"/>
  <c r="G62" i="11"/>
  <c r="H62" i="11" s="1"/>
  <c r="E57" i="10"/>
  <c r="F57" i="10" s="1"/>
  <c r="G57" i="10" s="1"/>
  <c r="C58" i="10" s="1"/>
  <c r="D67" i="10"/>
  <c r="E63" i="11" l="1"/>
  <c r="F63" i="11" s="1"/>
  <c r="B64" i="11"/>
  <c r="G63" i="11"/>
  <c r="H63" i="11" s="1"/>
  <c r="D64" i="11"/>
  <c r="C65" i="11"/>
  <c r="E58" i="10"/>
  <c r="F58" i="10" s="1"/>
  <c r="G58" i="10" s="1"/>
  <c r="C59" i="10" s="1"/>
  <c r="D68" i="10"/>
  <c r="C66" i="11" l="1"/>
  <c r="D65" i="11"/>
  <c r="G64" i="11"/>
  <c r="H64" i="11" s="1"/>
  <c r="E64" i="11"/>
  <c r="F64" i="11" s="1"/>
  <c r="B65" i="11"/>
  <c r="E59" i="10"/>
  <c r="F59" i="10" s="1"/>
  <c r="G59" i="10" s="1"/>
  <c r="C60" i="10" s="1"/>
  <c r="D69" i="10"/>
  <c r="G65" i="11" l="1"/>
  <c r="H65" i="11" s="1"/>
  <c r="E65" i="11"/>
  <c r="F65" i="11" s="1"/>
  <c r="B66" i="11"/>
  <c r="C67" i="11"/>
  <c r="D66" i="11"/>
  <c r="E60" i="10"/>
  <c r="F60" i="10" s="1"/>
  <c r="G60" i="10" s="1"/>
  <c r="C61" i="10" s="1"/>
  <c r="D70" i="10"/>
  <c r="D67" i="11" l="1"/>
  <c r="C68" i="11"/>
  <c r="B67" i="11"/>
  <c r="G66" i="11"/>
  <c r="H66" i="11" s="1"/>
  <c r="E66" i="11"/>
  <c r="F66" i="11" s="1"/>
  <c r="E61" i="10"/>
  <c r="F61" i="10" s="1"/>
  <c r="G61" i="10"/>
  <c r="C62" i="10" s="1"/>
  <c r="D71" i="10"/>
  <c r="G67" i="11" l="1"/>
  <c r="H67" i="11" s="1"/>
  <c r="B68" i="11"/>
  <c r="E67" i="11"/>
  <c r="F67" i="11" s="1"/>
  <c r="C69" i="11"/>
  <c r="D68" i="11"/>
  <c r="D72" i="10"/>
  <c r="E62" i="10"/>
  <c r="F62" i="10" s="1"/>
  <c r="G62" i="10" s="1"/>
  <c r="C63" i="10" s="1"/>
  <c r="C70" i="11" l="1"/>
  <c r="D69" i="11"/>
  <c r="E68" i="11"/>
  <c r="F68" i="11" s="1"/>
  <c r="B69" i="11"/>
  <c r="G68" i="11"/>
  <c r="H68" i="11" s="1"/>
  <c r="E63" i="10"/>
  <c r="F63" i="10" s="1"/>
  <c r="G63" i="10"/>
  <c r="C64" i="10" s="1"/>
  <c r="D73" i="10"/>
  <c r="B70" i="11" l="1"/>
  <c r="G69" i="11"/>
  <c r="H69" i="11" s="1"/>
  <c r="E69" i="11"/>
  <c r="F69" i="11" s="1"/>
  <c r="C71" i="11"/>
  <c r="D70" i="11"/>
  <c r="D74" i="10"/>
  <c r="E64" i="10"/>
  <c r="F64" i="10" s="1"/>
  <c r="G64" i="10" s="1"/>
  <c r="C65" i="10" s="1"/>
  <c r="C72" i="11" l="1"/>
  <c r="D71" i="11"/>
  <c r="B71" i="11"/>
  <c r="G70" i="11"/>
  <c r="H70" i="11" s="1"/>
  <c r="E70" i="11"/>
  <c r="F70" i="11" s="1"/>
  <c r="E65" i="10"/>
  <c r="F65" i="10" s="1"/>
  <c r="G65" i="10" s="1"/>
  <c r="C66" i="10" s="1"/>
  <c r="D75" i="10"/>
  <c r="B72" i="11" l="1"/>
  <c r="G71" i="11"/>
  <c r="H71" i="11" s="1"/>
  <c r="E71" i="11"/>
  <c r="F71" i="11" s="1"/>
  <c r="D72" i="11"/>
  <c r="C73" i="11"/>
  <c r="E66" i="10"/>
  <c r="F66" i="10" s="1"/>
  <c r="G66" i="10" s="1"/>
  <c r="C67" i="10" s="1"/>
  <c r="D76" i="10"/>
  <c r="C74" i="11" l="1"/>
  <c r="D73" i="11"/>
  <c r="E72" i="11"/>
  <c r="F72" i="11" s="1"/>
  <c r="G72" i="11"/>
  <c r="H72" i="11" s="1"/>
  <c r="B73" i="11"/>
  <c r="E67" i="10"/>
  <c r="F67" i="10" s="1"/>
  <c r="G67" i="10" s="1"/>
  <c r="C68" i="10" s="1"/>
  <c r="D77" i="10"/>
  <c r="B74" i="11" l="1"/>
  <c r="G73" i="11"/>
  <c r="H73" i="11" s="1"/>
  <c r="E73" i="11"/>
  <c r="F73" i="11" s="1"/>
  <c r="D74" i="11"/>
  <c r="C75" i="11"/>
  <c r="D78" i="10"/>
  <c r="E68" i="10"/>
  <c r="F68" i="10" s="1"/>
  <c r="G68" i="10" s="1"/>
  <c r="C69" i="10" s="1"/>
  <c r="D75" i="11" l="1"/>
  <c r="C76" i="11"/>
  <c r="B75" i="11"/>
  <c r="G74" i="11"/>
  <c r="H74" i="11" s="1"/>
  <c r="E74" i="11"/>
  <c r="F74" i="11" s="1"/>
  <c r="E69" i="10"/>
  <c r="F69" i="10" s="1"/>
  <c r="G69" i="10" s="1"/>
  <c r="C70" i="10" s="1"/>
  <c r="D79" i="10"/>
  <c r="B76" i="11" l="1"/>
  <c r="G75" i="11"/>
  <c r="H75" i="11" s="1"/>
  <c r="E75" i="11"/>
  <c r="F75" i="11" s="1"/>
  <c r="D76" i="11"/>
  <c r="C77" i="11"/>
  <c r="E70" i="10"/>
  <c r="F70" i="10" s="1"/>
  <c r="G70" i="10"/>
  <c r="C71" i="10" s="1"/>
  <c r="D80" i="10"/>
  <c r="D77" i="11" l="1"/>
  <c r="C78" i="11"/>
  <c r="E76" i="11"/>
  <c r="F76" i="11" s="1"/>
  <c r="B77" i="11"/>
  <c r="G76" i="11"/>
  <c r="H76" i="11" s="1"/>
  <c r="D81" i="10"/>
  <c r="E71" i="10"/>
  <c r="F71" i="10" s="1"/>
  <c r="G71" i="10" s="1"/>
  <c r="C72" i="10" s="1"/>
  <c r="E77" i="11" l="1"/>
  <c r="F77" i="11" s="1"/>
  <c r="B78" i="11"/>
  <c r="G77" i="11"/>
  <c r="H77" i="11" s="1"/>
  <c r="C79" i="11"/>
  <c r="D78" i="11"/>
  <c r="E72" i="10"/>
  <c r="F72" i="10" s="1"/>
  <c r="G72" i="10" s="1"/>
  <c r="C73" i="10" s="1"/>
  <c r="D82" i="10"/>
  <c r="D79" i="11" l="1"/>
  <c r="C80" i="11"/>
  <c r="E78" i="11"/>
  <c r="F78" i="11" s="1"/>
  <c r="B79" i="11"/>
  <c r="G78" i="11"/>
  <c r="H78" i="11" s="1"/>
  <c r="E73" i="10"/>
  <c r="F73" i="10" s="1"/>
  <c r="G73" i="10" s="1"/>
  <c r="C74" i="10" s="1"/>
  <c r="D83" i="10"/>
  <c r="B80" i="11" l="1"/>
  <c r="G79" i="11"/>
  <c r="H79" i="11" s="1"/>
  <c r="E79" i="11"/>
  <c r="F79" i="11" s="1"/>
  <c r="D80" i="11"/>
  <c r="C81" i="11"/>
  <c r="E74" i="10"/>
  <c r="F74" i="10" s="1"/>
  <c r="G74" i="10" s="1"/>
  <c r="C75" i="10" s="1"/>
  <c r="D84" i="10"/>
  <c r="C82" i="11" l="1"/>
  <c r="D81" i="11"/>
  <c r="G80" i="11"/>
  <c r="H80" i="11" s="1"/>
  <c r="B81" i="11"/>
  <c r="E80" i="11"/>
  <c r="F80" i="11" s="1"/>
  <c r="E75" i="10"/>
  <c r="F75" i="10" s="1"/>
  <c r="G75" i="10" s="1"/>
  <c r="C76" i="10" s="1"/>
  <c r="D85" i="10"/>
  <c r="B82" i="11" l="1"/>
  <c r="G81" i="11"/>
  <c r="H81" i="11" s="1"/>
  <c r="E81" i="11"/>
  <c r="F81" i="11" s="1"/>
  <c r="D82" i="11"/>
  <c r="C83" i="11"/>
  <c r="E76" i="10"/>
  <c r="F76" i="10" s="1"/>
  <c r="G76" i="10"/>
  <c r="C77" i="10" s="1"/>
  <c r="D86" i="10"/>
  <c r="D83" i="11" l="1"/>
  <c r="C84" i="11"/>
  <c r="G82" i="11"/>
  <c r="H82" i="11" s="1"/>
  <c r="E82" i="11"/>
  <c r="F82" i="11" s="1"/>
  <c r="B83" i="11"/>
  <c r="D87" i="10"/>
  <c r="E77" i="10"/>
  <c r="F77" i="10" s="1"/>
  <c r="G77" i="10" s="1"/>
  <c r="C78" i="10" s="1"/>
  <c r="G83" i="11" l="1"/>
  <c r="H83" i="11" s="1"/>
  <c r="E83" i="11"/>
  <c r="F83" i="11" s="1"/>
  <c r="B84" i="11"/>
  <c r="C85" i="11"/>
  <c r="D84" i="11"/>
  <c r="E78" i="10"/>
  <c r="F78" i="10" s="1"/>
  <c r="G78" i="10" s="1"/>
  <c r="C79" i="10" s="1"/>
  <c r="D88" i="10"/>
  <c r="C86" i="11" l="1"/>
  <c r="D85" i="11"/>
  <c r="B85" i="11"/>
  <c r="G84" i="11"/>
  <c r="H84" i="11" s="1"/>
  <c r="E84" i="11"/>
  <c r="F84" i="11" s="1"/>
  <c r="E79" i="10"/>
  <c r="F79" i="10" s="1"/>
  <c r="G79" i="10" s="1"/>
  <c r="C80" i="10" s="1"/>
  <c r="D89" i="10"/>
  <c r="B86" i="11" l="1"/>
  <c r="G85" i="11"/>
  <c r="H85" i="11" s="1"/>
  <c r="E85" i="11"/>
  <c r="F85" i="11" s="1"/>
  <c r="C87" i="11"/>
  <c r="D86" i="11"/>
  <c r="E80" i="10"/>
  <c r="F80" i="10" s="1"/>
  <c r="G80" i="10" s="1"/>
  <c r="C81" i="10" s="1"/>
  <c r="D90" i="10"/>
  <c r="D87" i="11" l="1"/>
  <c r="C88" i="11"/>
  <c r="B87" i="11"/>
  <c r="G86" i="11"/>
  <c r="H86" i="11" s="1"/>
  <c r="E86" i="11"/>
  <c r="F86" i="11" s="1"/>
  <c r="E81" i="10"/>
  <c r="F81" i="10" s="1"/>
  <c r="G81" i="10" s="1"/>
  <c r="C82" i="10" s="1"/>
  <c r="D91" i="10"/>
  <c r="G87" i="11" l="1"/>
  <c r="H87" i="11" s="1"/>
  <c r="E87" i="11"/>
  <c r="F87" i="11" s="1"/>
  <c r="B88" i="11"/>
  <c r="C89" i="11"/>
  <c r="D88" i="11"/>
  <c r="E82" i="10"/>
  <c r="F82" i="10" s="1"/>
  <c r="G82" i="10" s="1"/>
  <c r="C83" i="10" s="1"/>
  <c r="D92" i="10"/>
  <c r="D89" i="11" l="1"/>
  <c r="C90" i="11"/>
  <c r="B89" i="11"/>
  <c r="G88" i="11"/>
  <c r="H88" i="11" s="1"/>
  <c r="E88" i="11"/>
  <c r="F88" i="11" s="1"/>
  <c r="D93" i="10"/>
  <c r="E83" i="10"/>
  <c r="F83" i="10" s="1"/>
  <c r="G83" i="10" s="1"/>
  <c r="C84" i="10" s="1"/>
  <c r="B90" i="11" l="1"/>
  <c r="G89" i="11"/>
  <c r="H89" i="11" s="1"/>
  <c r="E89" i="11"/>
  <c r="F89" i="11" s="1"/>
  <c r="C91" i="11"/>
  <c r="D90" i="11"/>
  <c r="E84" i="10"/>
  <c r="F84" i="10" s="1"/>
  <c r="G84" i="10" s="1"/>
  <c r="C85" i="10" s="1"/>
  <c r="D94" i="10"/>
  <c r="D91" i="11" l="1"/>
  <c r="C92" i="11"/>
  <c r="B91" i="11"/>
  <c r="G90" i="11"/>
  <c r="H90" i="11" s="1"/>
  <c r="E90" i="11"/>
  <c r="F90" i="11" s="1"/>
  <c r="D95" i="10"/>
  <c r="E85" i="10"/>
  <c r="F85" i="10" s="1"/>
  <c r="G85" i="10" s="1"/>
  <c r="C86" i="10" s="1"/>
  <c r="E91" i="11" l="1"/>
  <c r="F91" i="11" s="1"/>
  <c r="B92" i="11"/>
  <c r="G91" i="11"/>
  <c r="H91" i="11" s="1"/>
  <c r="D92" i="11"/>
  <c r="C93" i="11"/>
  <c r="E86" i="10"/>
  <c r="F86" i="10" s="1"/>
  <c r="G86" i="10" s="1"/>
  <c r="C87" i="10" s="1"/>
  <c r="D96" i="10"/>
  <c r="C94" i="11" l="1"/>
  <c r="D93" i="11"/>
  <c r="E92" i="11"/>
  <c r="F92" i="11" s="1"/>
  <c r="B93" i="11"/>
  <c r="G92" i="11"/>
  <c r="H92" i="11" s="1"/>
  <c r="E87" i="10"/>
  <c r="F87" i="10" s="1"/>
  <c r="G87" i="10"/>
  <c r="C88" i="10" s="1"/>
  <c r="D97" i="10"/>
  <c r="G93" i="11" l="1"/>
  <c r="H93" i="11" s="1"/>
  <c r="E93" i="11"/>
  <c r="F93" i="11" s="1"/>
  <c r="B94" i="11"/>
  <c r="C95" i="11"/>
  <c r="D94" i="11"/>
  <c r="D98" i="10"/>
  <c r="E88" i="10"/>
  <c r="F88" i="10" s="1"/>
  <c r="G88" i="10" s="1"/>
  <c r="C89" i="10" s="1"/>
  <c r="D95" i="11" l="1"/>
  <c r="C96" i="11"/>
  <c r="B95" i="11"/>
  <c r="G94" i="11"/>
  <c r="H94" i="11" s="1"/>
  <c r="E94" i="11"/>
  <c r="F94" i="11" s="1"/>
  <c r="E89" i="10"/>
  <c r="F89" i="10" s="1"/>
  <c r="G89" i="10" s="1"/>
  <c r="C90" i="10" s="1"/>
  <c r="D99" i="10"/>
  <c r="G95" i="11" l="1"/>
  <c r="H95" i="11" s="1"/>
  <c r="B96" i="11"/>
  <c r="E95" i="11"/>
  <c r="F95" i="11" s="1"/>
  <c r="C97" i="11"/>
  <c r="D96" i="11"/>
  <c r="E90" i="10"/>
  <c r="F90" i="10" s="1"/>
  <c r="G90" i="10" s="1"/>
  <c r="C91" i="10" s="1"/>
  <c r="D100" i="10"/>
  <c r="D97" i="11" l="1"/>
  <c r="C98" i="11"/>
  <c r="B97" i="11"/>
  <c r="G96" i="11"/>
  <c r="H96" i="11" s="1"/>
  <c r="E96" i="11"/>
  <c r="F96" i="11" s="1"/>
  <c r="E91" i="10"/>
  <c r="F91" i="10" s="1"/>
  <c r="G91" i="10" s="1"/>
  <c r="C92" i="10" s="1"/>
  <c r="D101" i="10"/>
  <c r="B98" i="11" l="1"/>
  <c r="E97" i="11"/>
  <c r="F97" i="11" s="1"/>
  <c r="G97" i="11"/>
  <c r="H97" i="11" s="1"/>
  <c r="C99" i="11"/>
  <c r="D98" i="11"/>
  <c r="D102" i="10"/>
  <c r="E92" i="10"/>
  <c r="F92" i="10" s="1"/>
  <c r="G92" i="10" s="1"/>
  <c r="C93" i="10" s="1"/>
  <c r="C100" i="11" l="1"/>
  <c r="D99" i="11"/>
  <c r="B99" i="11"/>
  <c r="G98" i="11"/>
  <c r="H98" i="11" s="1"/>
  <c r="E98" i="11"/>
  <c r="F98" i="11" s="1"/>
  <c r="E93" i="10"/>
  <c r="F93" i="10" s="1"/>
  <c r="G93" i="10" s="1"/>
  <c r="C94" i="10" s="1"/>
  <c r="D103" i="10"/>
  <c r="B100" i="11" l="1"/>
  <c r="G99" i="11"/>
  <c r="H99" i="11" s="1"/>
  <c r="E99" i="11"/>
  <c r="F99" i="11" s="1"/>
  <c r="D100" i="11"/>
  <c r="C101" i="11"/>
  <c r="E94" i="10"/>
  <c r="F94" i="10" s="1"/>
  <c r="G94" i="10" s="1"/>
  <c r="C95" i="10" s="1"/>
  <c r="D104" i="10"/>
  <c r="C102" i="11" l="1"/>
  <c r="D101" i="11"/>
  <c r="B101" i="11"/>
  <c r="G100" i="11"/>
  <c r="H100" i="11" s="1"/>
  <c r="E100" i="11"/>
  <c r="F100" i="11" s="1"/>
  <c r="E95" i="10"/>
  <c r="F95" i="10" s="1"/>
  <c r="G95" i="10" s="1"/>
  <c r="C96" i="10" s="1"/>
  <c r="D105" i="10"/>
  <c r="B102" i="11" l="1"/>
  <c r="G101" i="11"/>
  <c r="H101" i="11" s="1"/>
  <c r="E101" i="11"/>
  <c r="F101" i="11" s="1"/>
  <c r="D102" i="11"/>
  <c r="C103" i="11"/>
  <c r="E96" i="10"/>
  <c r="F96" i="10" s="1"/>
  <c r="G96" i="10"/>
  <c r="C97" i="10" s="1"/>
  <c r="D106" i="10"/>
  <c r="D103" i="11" l="1"/>
  <c r="C104" i="11"/>
  <c r="G102" i="11"/>
  <c r="H102" i="11" s="1"/>
  <c r="E102" i="11"/>
  <c r="F102" i="11" s="1"/>
  <c r="B103" i="11"/>
  <c r="D107" i="10"/>
  <c r="E97" i="10"/>
  <c r="F97" i="10" s="1"/>
  <c r="G97" i="10" s="1"/>
  <c r="C98" i="10" s="1"/>
  <c r="E103" i="11" l="1"/>
  <c r="F103" i="11" s="1"/>
  <c r="B104" i="11"/>
  <c r="G103" i="11"/>
  <c r="H103" i="11" s="1"/>
  <c r="D104" i="11"/>
  <c r="C105" i="11"/>
  <c r="E98" i="10"/>
  <c r="F98" i="10" s="1"/>
  <c r="G98" i="10" s="1"/>
  <c r="C99" i="10" s="1"/>
  <c r="D108" i="10"/>
  <c r="C106" i="11" l="1"/>
  <c r="D105" i="11"/>
  <c r="E104" i="11"/>
  <c r="F104" i="11" s="1"/>
  <c r="B105" i="11"/>
  <c r="G104" i="11"/>
  <c r="H104" i="11" s="1"/>
  <c r="D109" i="10"/>
  <c r="E99" i="10"/>
  <c r="F99" i="10" s="1"/>
  <c r="G99" i="10" s="1"/>
  <c r="C100" i="10" s="1"/>
  <c r="B106" i="11" l="1"/>
  <c r="G105" i="11"/>
  <c r="H105" i="11" s="1"/>
  <c r="E105" i="11"/>
  <c r="F105" i="11" s="1"/>
  <c r="C107" i="11"/>
  <c r="D106" i="11"/>
  <c r="E100" i="10"/>
  <c r="F100" i="10" s="1"/>
  <c r="G100" i="10" s="1"/>
  <c r="C101" i="10" s="1"/>
  <c r="D110" i="10"/>
  <c r="D107" i="11" l="1"/>
  <c r="C108" i="11"/>
  <c r="E106" i="11"/>
  <c r="F106" i="11" s="1"/>
  <c r="B107" i="11"/>
  <c r="G106" i="11"/>
  <c r="H106" i="11" s="1"/>
  <c r="E101" i="10"/>
  <c r="F101" i="10" s="1"/>
  <c r="G101" i="10" s="1"/>
  <c r="C102" i="10" s="1"/>
  <c r="D111" i="10"/>
  <c r="G107" i="11" l="1"/>
  <c r="H107" i="11" s="1"/>
  <c r="E107" i="11"/>
  <c r="F107" i="11" s="1"/>
  <c r="B108" i="11"/>
  <c r="C109" i="11"/>
  <c r="D108" i="11"/>
  <c r="E102" i="10"/>
  <c r="F102" i="10" s="1"/>
  <c r="G102" i="10" s="1"/>
  <c r="C103" i="10" s="1"/>
  <c r="D112" i="10"/>
  <c r="C110" i="11" l="1"/>
  <c r="D109" i="11"/>
  <c r="G108" i="11"/>
  <c r="H108" i="11" s="1"/>
  <c r="B109" i="11"/>
  <c r="E108" i="11"/>
  <c r="F108" i="11" s="1"/>
  <c r="D113" i="10"/>
  <c r="E103" i="10"/>
  <c r="F103" i="10" s="1"/>
  <c r="G103" i="10" s="1"/>
  <c r="C104" i="10" s="1"/>
  <c r="B110" i="11" l="1"/>
  <c r="G109" i="11"/>
  <c r="H109" i="11" s="1"/>
  <c r="E109" i="11"/>
  <c r="F109" i="11" s="1"/>
  <c r="C111" i="11"/>
  <c r="D110" i="11"/>
  <c r="E104" i="10"/>
  <c r="F104" i="10" s="1"/>
  <c r="G104" i="10" s="1"/>
  <c r="C105" i="10" s="1"/>
  <c r="D114" i="10"/>
  <c r="C112" i="11" l="1"/>
  <c r="D111" i="11"/>
  <c r="G110" i="11"/>
  <c r="H110" i="11" s="1"/>
  <c r="B111" i="11"/>
  <c r="E110" i="11"/>
  <c r="F110" i="11" s="1"/>
  <c r="E105" i="10"/>
  <c r="F105" i="10" s="1"/>
  <c r="G105" i="10" s="1"/>
  <c r="C106" i="10" s="1"/>
  <c r="D115" i="10"/>
  <c r="B112" i="11" l="1"/>
  <c r="G111" i="11"/>
  <c r="H111" i="11" s="1"/>
  <c r="E111" i="11"/>
  <c r="F111" i="11" s="1"/>
  <c r="D112" i="11"/>
  <c r="C113" i="11"/>
  <c r="D116" i="10"/>
  <c r="E106" i="10"/>
  <c r="F106" i="10" s="1"/>
  <c r="G106" i="10" s="1"/>
  <c r="C107" i="10" s="1"/>
  <c r="C114" i="11" l="1"/>
  <c r="D113" i="11"/>
  <c r="B113" i="11"/>
  <c r="E112" i="11"/>
  <c r="F112" i="11" s="1"/>
  <c r="G112" i="11"/>
  <c r="H112" i="11" s="1"/>
  <c r="E107" i="10"/>
  <c r="F107" i="10" s="1"/>
  <c r="G107" i="10" s="1"/>
  <c r="C108" i="10" s="1"/>
  <c r="D117" i="10"/>
  <c r="B114" i="11" l="1"/>
  <c r="G113" i="11"/>
  <c r="H113" i="11" s="1"/>
  <c r="E113" i="11"/>
  <c r="F113" i="11" s="1"/>
  <c r="C115" i="11"/>
  <c r="D114" i="11"/>
  <c r="E108" i="10"/>
  <c r="F108" i="10" s="1"/>
  <c r="G108" i="10" s="1"/>
  <c r="C109" i="10" s="1"/>
  <c r="D118" i="10"/>
  <c r="D115" i="11" l="1"/>
  <c r="C116" i="11"/>
  <c r="B115" i="11"/>
  <c r="G114" i="11"/>
  <c r="H114" i="11" s="1"/>
  <c r="E114" i="11"/>
  <c r="F114" i="11" s="1"/>
  <c r="D119" i="10"/>
  <c r="E109" i="10"/>
  <c r="F109" i="10" s="1"/>
  <c r="G109" i="10" s="1"/>
  <c r="C110" i="10" s="1"/>
  <c r="G115" i="11" l="1"/>
  <c r="H115" i="11" s="1"/>
  <c r="E115" i="11"/>
  <c r="F115" i="11" s="1"/>
  <c r="B116" i="11"/>
  <c r="C117" i="11"/>
  <c r="D116" i="11"/>
  <c r="E110" i="10"/>
  <c r="F110" i="10" s="1"/>
  <c r="G110" i="10" s="1"/>
  <c r="C111" i="10" s="1"/>
  <c r="D120" i="10"/>
  <c r="D117" i="11" l="1"/>
  <c r="C118" i="11"/>
  <c r="B117" i="11"/>
  <c r="G116" i="11"/>
  <c r="H116" i="11" s="1"/>
  <c r="E116" i="11"/>
  <c r="F116" i="11" s="1"/>
  <c r="E111" i="10"/>
  <c r="F111" i="10" s="1"/>
  <c r="G111" i="10" s="1"/>
  <c r="C112" i="10" s="1"/>
  <c r="D121" i="10"/>
  <c r="G117" i="11" l="1"/>
  <c r="H117" i="11" s="1"/>
  <c r="E117" i="11"/>
  <c r="F117" i="11" s="1"/>
  <c r="B118" i="11"/>
  <c r="D118" i="11"/>
  <c r="C119" i="11"/>
  <c r="E112" i="10"/>
  <c r="F112" i="10" s="1"/>
  <c r="G112" i="10" s="1"/>
  <c r="C113" i="10" s="1"/>
  <c r="D122" i="10"/>
  <c r="D119" i="11" l="1"/>
  <c r="C120" i="11"/>
  <c r="G118" i="11"/>
  <c r="H118" i="11" s="1"/>
  <c r="E118" i="11"/>
  <c r="F118" i="11" s="1"/>
  <c r="B119" i="11"/>
  <c r="D123" i="10"/>
  <c r="E113" i="10"/>
  <c r="F113" i="10" s="1"/>
  <c r="G113" i="10" s="1"/>
  <c r="C114" i="10" s="1"/>
  <c r="E119" i="11" l="1"/>
  <c r="F119" i="11" s="1"/>
  <c r="B120" i="11"/>
  <c r="G119" i="11"/>
  <c r="H119" i="11" s="1"/>
  <c r="D120" i="11"/>
  <c r="C121" i="11"/>
  <c r="E114" i="10"/>
  <c r="F114" i="10" s="1"/>
  <c r="G114" i="10" s="1"/>
  <c r="C115" i="10" s="1"/>
  <c r="D124" i="10"/>
  <c r="C122" i="11" l="1"/>
  <c r="D121" i="11"/>
  <c r="B121" i="11"/>
  <c r="G120" i="11"/>
  <c r="H120" i="11" s="1"/>
  <c r="E120" i="11"/>
  <c r="F120" i="11" s="1"/>
  <c r="E115" i="10"/>
  <c r="F115" i="10" s="1"/>
  <c r="G115" i="10" s="1"/>
  <c r="C116" i="10" s="1"/>
  <c r="D125" i="10"/>
  <c r="G121" i="11" l="1"/>
  <c r="H121" i="11" s="1"/>
  <c r="E121" i="11"/>
  <c r="F121" i="11" s="1"/>
  <c r="B122" i="11"/>
  <c r="D122" i="11"/>
  <c r="C123" i="11"/>
  <c r="E116" i="10"/>
  <c r="F116" i="10" s="1"/>
  <c r="G116" i="10" s="1"/>
  <c r="C117" i="10" s="1"/>
  <c r="D126" i="10"/>
  <c r="C124" i="11" l="1"/>
  <c r="D123" i="11"/>
  <c r="G122" i="11"/>
  <c r="H122" i="11" s="1"/>
  <c r="E122" i="11"/>
  <c r="F122" i="11" s="1"/>
  <c r="B123" i="11"/>
  <c r="E117" i="10"/>
  <c r="F117" i="10" s="1"/>
  <c r="G117" i="10" s="1"/>
  <c r="C118" i="10" s="1"/>
  <c r="D127" i="10"/>
  <c r="G123" i="11" l="1"/>
  <c r="H123" i="11" s="1"/>
  <c r="B124" i="11"/>
  <c r="E123" i="11"/>
  <c r="F123" i="11" s="1"/>
  <c r="C125" i="11"/>
  <c r="D124" i="11"/>
  <c r="D128" i="10"/>
  <c r="E118" i="10"/>
  <c r="F118" i="10" s="1"/>
  <c r="G118" i="10" s="1"/>
  <c r="C119" i="10" s="1"/>
  <c r="C126" i="11" l="1"/>
  <c r="D125" i="11"/>
  <c r="B125" i="11"/>
  <c r="G124" i="11"/>
  <c r="H124" i="11" s="1"/>
  <c r="E124" i="11"/>
  <c r="F124" i="11" s="1"/>
  <c r="E119" i="10"/>
  <c r="F119" i="10" s="1"/>
  <c r="G119" i="10"/>
  <c r="C120" i="10" s="1"/>
  <c r="D129" i="10"/>
  <c r="B126" i="11" l="1"/>
  <c r="G125" i="11"/>
  <c r="H125" i="11" s="1"/>
  <c r="E125" i="11"/>
  <c r="F125" i="11" s="1"/>
  <c r="C127" i="11"/>
  <c r="D126" i="11"/>
  <c r="D130" i="10"/>
  <c r="E120" i="10"/>
  <c r="F120" i="10" s="1"/>
  <c r="G120" i="10" s="1"/>
  <c r="C121" i="10" s="1"/>
  <c r="C128" i="11" l="1"/>
  <c r="D127" i="11"/>
  <c r="B127" i="11"/>
  <c r="G126" i="11"/>
  <c r="H126" i="11" s="1"/>
  <c r="E126" i="11"/>
  <c r="F126" i="11" s="1"/>
  <c r="E121" i="10"/>
  <c r="F121" i="10" s="1"/>
  <c r="G121" i="10" s="1"/>
  <c r="C122" i="10" s="1"/>
  <c r="D131" i="10"/>
  <c r="B128" i="11" l="1"/>
  <c r="G127" i="11"/>
  <c r="H127" i="11" s="1"/>
  <c r="E127" i="11"/>
  <c r="F127" i="11" s="1"/>
  <c r="C129" i="11"/>
  <c r="D128" i="11"/>
  <c r="E122" i="10"/>
  <c r="F122" i="10" s="1"/>
  <c r="G122" i="10"/>
  <c r="C123" i="10" s="1"/>
  <c r="D132" i="10"/>
  <c r="C130" i="11" l="1"/>
  <c r="D129" i="11"/>
  <c r="B129" i="11"/>
  <c r="G128" i="11"/>
  <c r="H128" i="11" s="1"/>
  <c r="E128" i="11"/>
  <c r="F128" i="11" s="1"/>
  <c r="D133" i="10"/>
  <c r="E123" i="10"/>
  <c r="F123" i="10" s="1"/>
  <c r="G123" i="10" s="1"/>
  <c r="C124" i="10" s="1"/>
  <c r="B130" i="11" l="1"/>
  <c r="G129" i="11"/>
  <c r="H129" i="11" s="1"/>
  <c r="E129" i="11"/>
  <c r="F129" i="11" s="1"/>
  <c r="D130" i="11"/>
  <c r="C131" i="11"/>
  <c r="E124" i="10"/>
  <c r="F124" i="10" s="1"/>
  <c r="G124" i="10" s="1"/>
  <c r="C125" i="10" s="1"/>
  <c r="D134" i="10"/>
  <c r="C132" i="11" l="1"/>
  <c r="D131" i="11"/>
  <c r="E130" i="11"/>
  <c r="F130" i="11" s="1"/>
  <c r="B131" i="11"/>
  <c r="G130" i="11"/>
  <c r="H130" i="11" s="1"/>
  <c r="E125" i="10"/>
  <c r="F125" i="10" s="1"/>
  <c r="G125" i="10" s="1"/>
  <c r="C126" i="10" s="1"/>
  <c r="D135" i="10"/>
  <c r="B132" i="11" l="1"/>
  <c r="G131" i="11"/>
  <c r="H131" i="11" s="1"/>
  <c r="E131" i="11"/>
  <c r="F131" i="11" s="1"/>
  <c r="D132" i="11"/>
  <c r="C133" i="11"/>
  <c r="E126" i="10"/>
  <c r="F126" i="10" s="1"/>
  <c r="G126" i="10" s="1"/>
  <c r="C127" i="10" s="1"/>
  <c r="D136" i="10"/>
  <c r="C134" i="11" l="1"/>
  <c r="D133" i="11"/>
  <c r="E132" i="11"/>
  <c r="F132" i="11" s="1"/>
  <c r="G132" i="11"/>
  <c r="H132" i="11" s="1"/>
  <c r="B133" i="11"/>
  <c r="D137" i="10"/>
  <c r="E127" i="10"/>
  <c r="F127" i="10" s="1"/>
  <c r="G127" i="10" s="1"/>
  <c r="C128" i="10" s="1"/>
  <c r="B134" i="11" l="1"/>
  <c r="G133" i="11"/>
  <c r="H133" i="11" s="1"/>
  <c r="E133" i="11"/>
  <c r="F133" i="11" s="1"/>
  <c r="C135" i="11"/>
  <c r="D134" i="11"/>
  <c r="E128" i="10"/>
  <c r="F128" i="10" s="1"/>
  <c r="G128" i="10" s="1"/>
  <c r="C129" i="10" s="1"/>
  <c r="D138" i="10"/>
  <c r="D135" i="11" l="1"/>
  <c r="C136" i="11"/>
  <c r="E134" i="11"/>
  <c r="F134" i="11" s="1"/>
  <c r="B135" i="11"/>
  <c r="G134" i="11"/>
  <c r="H134" i="11" s="1"/>
  <c r="E129" i="10"/>
  <c r="F129" i="10" s="1"/>
  <c r="G129" i="10" s="1"/>
  <c r="C130" i="10" s="1"/>
  <c r="D139" i="10"/>
  <c r="B136" i="11" l="1"/>
  <c r="G135" i="11"/>
  <c r="H135" i="11" s="1"/>
  <c r="E135" i="11"/>
  <c r="F135" i="11" s="1"/>
  <c r="C137" i="11"/>
  <c r="D136" i="11"/>
  <c r="E130" i="10"/>
  <c r="F130" i="10" s="1"/>
  <c r="G130" i="10" s="1"/>
  <c r="C131" i="10" s="1"/>
  <c r="D140" i="10"/>
  <c r="D137" i="11" l="1"/>
  <c r="C138" i="11"/>
  <c r="G136" i="11"/>
  <c r="H136" i="11" s="1"/>
  <c r="B137" i="11"/>
  <c r="E136" i="11"/>
  <c r="F136" i="11" s="1"/>
  <c r="E131" i="10"/>
  <c r="F131" i="10" s="1"/>
  <c r="G131" i="10" s="1"/>
  <c r="C132" i="10" s="1"/>
  <c r="D141" i="10"/>
  <c r="G137" i="11" l="1"/>
  <c r="H137" i="11" s="1"/>
  <c r="E137" i="11"/>
  <c r="F137" i="11" s="1"/>
  <c r="B138" i="11"/>
  <c r="D138" i="11"/>
  <c r="C139" i="11"/>
  <c r="E132" i="10"/>
  <c r="F132" i="10" s="1"/>
  <c r="G132" i="10" s="1"/>
  <c r="C133" i="10" s="1"/>
  <c r="D142" i="10"/>
  <c r="C140" i="11" l="1"/>
  <c r="D139" i="11"/>
  <c r="G138" i="11"/>
  <c r="H138" i="11" s="1"/>
  <c r="E138" i="11"/>
  <c r="F138" i="11" s="1"/>
  <c r="B139" i="11"/>
  <c r="D143" i="10"/>
  <c r="E133" i="10"/>
  <c r="F133" i="10" s="1"/>
  <c r="G133" i="10" s="1"/>
  <c r="C134" i="10" s="1"/>
  <c r="B140" i="11" l="1"/>
  <c r="G139" i="11"/>
  <c r="H139" i="11" s="1"/>
  <c r="E139" i="11"/>
  <c r="F139" i="11" s="1"/>
  <c r="D140" i="11"/>
  <c r="C141" i="11"/>
  <c r="E134" i="10"/>
  <c r="F134" i="10" s="1"/>
  <c r="G134" i="10" s="1"/>
  <c r="C135" i="10" s="1"/>
  <c r="D144" i="10"/>
  <c r="C142" i="11" l="1"/>
  <c r="D141" i="11"/>
  <c r="B141" i="11"/>
  <c r="G140" i="11"/>
  <c r="H140" i="11" s="1"/>
  <c r="E140" i="11"/>
  <c r="F140" i="11" s="1"/>
  <c r="D145" i="10"/>
  <c r="E135" i="10"/>
  <c r="F135" i="10" s="1"/>
  <c r="G135" i="10" s="1"/>
  <c r="C136" i="10" s="1"/>
  <c r="B142" i="11" l="1"/>
  <c r="G141" i="11"/>
  <c r="H141" i="11" s="1"/>
  <c r="E141" i="11"/>
  <c r="F141" i="11" s="1"/>
  <c r="C143" i="11"/>
  <c r="D142" i="11"/>
  <c r="E136" i="10"/>
  <c r="F136" i="10" s="1"/>
  <c r="G136" i="10" s="1"/>
  <c r="C137" i="10" s="1"/>
  <c r="D146" i="10"/>
  <c r="C144" i="11" l="1"/>
  <c r="D143" i="11"/>
  <c r="B143" i="11"/>
  <c r="G142" i="11"/>
  <c r="H142" i="11" s="1"/>
  <c r="E142" i="11"/>
  <c r="F142" i="11" s="1"/>
  <c r="E137" i="10"/>
  <c r="F137" i="10" s="1"/>
  <c r="G137" i="10" s="1"/>
  <c r="C138" i="10" s="1"/>
  <c r="D147" i="10"/>
  <c r="B144" i="11" l="1"/>
  <c r="G143" i="11"/>
  <c r="H143" i="11" s="1"/>
  <c r="E143" i="11"/>
  <c r="F143" i="11" s="1"/>
  <c r="C145" i="11"/>
  <c r="D144" i="11"/>
  <c r="E138" i="10"/>
  <c r="F138" i="10" s="1"/>
  <c r="G138" i="10" s="1"/>
  <c r="C139" i="10" s="1"/>
  <c r="D148" i="10"/>
  <c r="D145" i="11" l="1"/>
  <c r="C146" i="11"/>
  <c r="B145" i="11"/>
  <c r="G144" i="11"/>
  <c r="H144" i="11" s="1"/>
  <c r="E144" i="11"/>
  <c r="F144" i="11" s="1"/>
  <c r="E139" i="10"/>
  <c r="F139" i="10" s="1"/>
  <c r="G139" i="10" s="1"/>
  <c r="C140" i="10" s="1"/>
  <c r="D149" i="10"/>
  <c r="E145" i="11" l="1"/>
  <c r="F145" i="11" s="1"/>
  <c r="B146" i="11"/>
  <c r="G145" i="11"/>
  <c r="H145" i="11" s="1"/>
  <c r="C147" i="11"/>
  <c r="D146" i="11"/>
  <c r="E140" i="10"/>
  <c r="F140" i="10" s="1"/>
  <c r="G140" i="10"/>
  <c r="C141" i="10" s="1"/>
  <c r="D150" i="10"/>
  <c r="D147" i="11" l="1"/>
  <c r="C148" i="11"/>
  <c r="B147" i="11"/>
  <c r="E146" i="11"/>
  <c r="F146" i="11" s="1"/>
  <c r="G146" i="11"/>
  <c r="H146" i="11" s="1"/>
  <c r="D151" i="10"/>
  <c r="E141" i="10"/>
  <c r="F141" i="10" s="1"/>
  <c r="G141" i="10" s="1"/>
  <c r="C142" i="10" s="1"/>
  <c r="E147" i="11" l="1"/>
  <c r="F147" i="11" s="1"/>
  <c r="B148" i="11"/>
  <c r="G147" i="11"/>
  <c r="H147" i="11" s="1"/>
  <c r="C149" i="11"/>
  <c r="D148" i="11"/>
  <c r="E142" i="10"/>
  <c r="F142" i="10" s="1"/>
  <c r="G142" i="10" s="1"/>
  <c r="C143" i="10" s="1"/>
  <c r="D152" i="10"/>
  <c r="C150" i="11" l="1"/>
  <c r="D149" i="11"/>
  <c r="B149" i="11"/>
  <c r="G148" i="11"/>
  <c r="H148" i="11" s="1"/>
  <c r="E148" i="11"/>
  <c r="F148" i="11" s="1"/>
  <c r="E143" i="10"/>
  <c r="F143" i="10" s="1"/>
  <c r="G143" i="10" s="1"/>
  <c r="C144" i="10" s="1"/>
  <c r="D153" i="10"/>
  <c r="G149" i="11" l="1"/>
  <c r="H149" i="11" s="1"/>
  <c r="E149" i="11"/>
  <c r="F149" i="11" s="1"/>
  <c r="B150" i="11"/>
  <c r="D150" i="11"/>
  <c r="C151" i="11"/>
  <c r="E144" i="10"/>
  <c r="F144" i="10" s="1"/>
  <c r="G144" i="10" s="1"/>
  <c r="C145" i="10" s="1"/>
  <c r="D154" i="10"/>
  <c r="C152" i="11" l="1"/>
  <c r="D151" i="11"/>
  <c r="E150" i="11"/>
  <c r="F150" i="11" s="1"/>
  <c r="G150" i="11"/>
  <c r="H150" i="11" s="1"/>
  <c r="B151" i="11"/>
  <c r="E145" i="10"/>
  <c r="F145" i="10" s="1"/>
  <c r="G145" i="10" s="1"/>
  <c r="C146" i="10" s="1"/>
  <c r="D155" i="10"/>
  <c r="G151" i="11" l="1"/>
  <c r="H151" i="11" s="1"/>
  <c r="B152" i="11"/>
  <c r="E151" i="11"/>
  <c r="F151" i="11" s="1"/>
  <c r="D152" i="11"/>
  <c r="C153" i="11"/>
  <c r="E146" i="10"/>
  <c r="F146" i="10" s="1"/>
  <c r="G146" i="10" s="1"/>
  <c r="C147" i="10" s="1"/>
  <c r="D156" i="10"/>
  <c r="C154" i="11" l="1"/>
  <c r="D153" i="11"/>
  <c r="G152" i="11"/>
  <c r="H152" i="11" s="1"/>
  <c r="E152" i="11"/>
  <c r="F152" i="11" s="1"/>
  <c r="B153" i="11"/>
  <c r="E147" i="10"/>
  <c r="F147" i="10" s="1"/>
  <c r="G147" i="10" s="1"/>
  <c r="C148" i="10" s="1"/>
  <c r="D157" i="10"/>
  <c r="B154" i="11" l="1"/>
  <c r="G153" i="11"/>
  <c r="H153" i="11" s="1"/>
  <c r="E153" i="11"/>
  <c r="F153" i="11" s="1"/>
  <c r="C155" i="11"/>
  <c r="D154" i="11"/>
  <c r="D158" i="10"/>
  <c r="E148" i="10"/>
  <c r="F148" i="10" s="1"/>
  <c r="G148" i="10" s="1"/>
  <c r="C149" i="10" s="1"/>
  <c r="C156" i="11" l="1"/>
  <c r="D155" i="11"/>
  <c r="B155" i="11"/>
  <c r="G154" i="11"/>
  <c r="H154" i="11" s="1"/>
  <c r="E154" i="11"/>
  <c r="F154" i="11" s="1"/>
  <c r="E149" i="10"/>
  <c r="F149" i="10" s="1"/>
  <c r="G149" i="10" s="1"/>
  <c r="C150" i="10" s="1"/>
  <c r="D159" i="10"/>
  <c r="B156" i="11" l="1"/>
  <c r="G155" i="11"/>
  <c r="H155" i="11" s="1"/>
  <c r="E155" i="11"/>
  <c r="F155" i="11" s="1"/>
  <c r="C157" i="11"/>
  <c r="D156" i="11"/>
  <c r="E150" i="10"/>
  <c r="F150" i="10" s="1"/>
  <c r="G150" i="10" s="1"/>
  <c r="C151" i="10" s="1"/>
  <c r="D160" i="10"/>
  <c r="C158" i="11" l="1"/>
  <c r="D157" i="11"/>
  <c r="B157" i="11"/>
  <c r="G156" i="11"/>
  <c r="H156" i="11" s="1"/>
  <c r="E156" i="11"/>
  <c r="F156" i="11" s="1"/>
  <c r="E151" i="10"/>
  <c r="F151" i="10" s="1"/>
  <c r="G151" i="10" s="1"/>
  <c r="C152" i="10" s="1"/>
  <c r="D161" i="10"/>
  <c r="G157" i="11" l="1"/>
  <c r="H157" i="11" s="1"/>
  <c r="E157" i="11"/>
  <c r="F157" i="11" s="1"/>
  <c r="B158" i="11"/>
  <c r="D158" i="11"/>
  <c r="C159" i="11"/>
  <c r="E152" i="10"/>
  <c r="F152" i="10" s="1"/>
  <c r="G152" i="10" s="1"/>
  <c r="C153" i="10" s="1"/>
  <c r="D162" i="10"/>
  <c r="C160" i="11" l="1"/>
  <c r="D159" i="11"/>
  <c r="E158" i="11"/>
  <c r="F158" i="11" s="1"/>
  <c r="B159" i="11"/>
  <c r="G158" i="11"/>
  <c r="H158" i="11" s="1"/>
  <c r="E153" i="10"/>
  <c r="F153" i="10" s="1"/>
  <c r="G153" i="10" s="1"/>
  <c r="C154" i="10" s="1"/>
  <c r="D163" i="10"/>
  <c r="B160" i="11" l="1"/>
  <c r="G159" i="11"/>
  <c r="H159" i="11" s="1"/>
  <c r="E159" i="11"/>
  <c r="F159" i="11" s="1"/>
  <c r="D160" i="11"/>
  <c r="C161" i="11"/>
  <c r="E154" i="10"/>
  <c r="F154" i="10" s="1"/>
  <c r="G154" i="10" s="1"/>
  <c r="C155" i="10" s="1"/>
  <c r="D164" i="10"/>
  <c r="C162" i="11" l="1"/>
  <c r="D161" i="11"/>
  <c r="E160" i="11"/>
  <c r="F160" i="11" s="1"/>
  <c r="B161" i="11"/>
  <c r="G160" i="11"/>
  <c r="H160" i="11" s="1"/>
  <c r="D165" i="10"/>
  <c r="E155" i="10"/>
  <c r="F155" i="10" s="1"/>
  <c r="G155" i="10"/>
  <c r="C156" i="10" s="1"/>
  <c r="G161" i="11" l="1"/>
  <c r="H161" i="11" s="1"/>
  <c r="E161" i="11"/>
  <c r="F161" i="11" s="1"/>
  <c r="B162" i="11"/>
  <c r="D162" i="11"/>
  <c r="C163" i="11"/>
  <c r="E156" i="10"/>
  <c r="F156" i="10" s="1"/>
  <c r="G156" i="10" s="1"/>
  <c r="C157" i="10" s="1"/>
  <c r="D166" i="10"/>
  <c r="C164" i="11" l="1"/>
  <c r="D163" i="11"/>
  <c r="E162" i="11"/>
  <c r="F162" i="11" s="1"/>
  <c r="B163" i="11"/>
  <c r="G162" i="11"/>
  <c r="H162" i="11" s="1"/>
  <c r="E157" i="10"/>
  <c r="F157" i="10" s="1"/>
  <c r="G157" i="10" s="1"/>
  <c r="C158" i="10" s="1"/>
  <c r="D167" i="10"/>
  <c r="B164" i="11" l="1"/>
  <c r="G163" i="11"/>
  <c r="H163" i="11" s="1"/>
  <c r="E163" i="11"/>
  <c r="F163" i="11" s="1"/>
  <c r="C165" i="11"/>
  <c r="D164" i="11"/>
  <c r="E158" i="10"/>
  <c r="F158" i="10" s="1"/>
  <c r="G158" i="10" s="1"/>
  <c r="C159" i="10" s="1"/>
  <c r="D168" i="10"/>
  <c r="D165" i="11" l="1"/>
  <c r="C166" i="11"/>
  <c r="G164" i="11"/>
  <c r="H164" i="11" s="1"/>
  <c r="B165" i="11"/>
  <c r="E164" i="11"/>
  <c r="F164" i="11" s="1"/>
  <c r="D169" i="10"/>
  <c r="E159" i="10"/>
  <c r="F159" i="10" s="1"/>
  <c r="G159" i="10" s="1"/>
  <c r="C160" i="10" s="1"/>
  <c r="E165" i="11" l="1"/>
  <c r="F165" i="11" s="1"/>
  <c r="B166" i="11"/>
  <c r="G165" i="11"/>
  <c r="H165" i="11" s="1"/>
  <c r="C167" i="11"/>
  <c r="D166" i="11"/>
  <c r="E160" i="10"/>
  <c r="F160" i="10" s="1"/>
  <c r="G160" i="10" s="1"/>
  <c r="C161" i="10" s="1"/>
  <c r="D170" i="10"/>
  <c r="D167" i="11" l="1"/>
  <c r="C168" i="11"/>
  <c r="G166" i="11"/>
  <c r="H166" i="11" s="1"/>
  <c r="B167" i="11"/>
  <c r="E166" i="11"/>
  <c r="F166" i="11" s="1"/>
  <c r="E161" i="10"/>
  <c r="F161" i="10" s="1"/>
  <c r="G161" i="10" s="1"/>
  <c r="C162" i="10" s="1"/>
  <c r="D171" i="10"/>
  <c r="B168" i="11" l="1"/>
  <c r="G167" i="11"/>
  <c r="H167" i="11" s="1"/>
  <c r="E167" i="11"/>
  <c r="F167" i="11" s="1"/>
  <c r="C169" i="11"/>
  <c r="D168" i="11"/>
  <c r="D172" i="10"/>
  <c r="E162" i="10"/>
  <c r="F162" i="10" s="1"/>
  <c r="G162" i="10" s="1"/>
  <c r="C163" i="10" s="1"/>
  <c r="C170" i="11" l="1"/>
  <c r="D169" i="11"/>
  <c r="B169" i="11"/>
  <c r="G168" i="11"/>
  <c r="H168" i="11" s="1"/>
  <c r="E168" i="11"/>
  <c r="F168" i="11" s="1"/>
  <c r="E163" i="10"/>
  <c r="F163" i="10" s="1"/>
  <c r="G163" i="10" s="1"/>
  <c r="C164" i="10" s="1"/>
  <c r="D173" i="10"/>
  <c r="B170" i="11" l="1"/>
  <c r="G169" i="11"/>
  <c r="H169" i="11" s="1"/>
  <c r="E169" i="11"/>
  <c r="F169" i="11" s="1"/>
  <c r="C171" i="11"/>
  <c r="D170" i="11"/>
  <c r="E164" i="10"/>
  <c r="F164" i="10" s="1"/>
  <c r="G164" i="10" s="1"/>
  <c r="C165" i="10" s="1"/>
  <c r="D174" i="10"/>
  <c r="C172" i="11" l="1"/>
  <c r="D171" i="11"/>
  <c r="B171" i="11"/>
  <c r="E170" i="11"/>
  <c r="F170" i="11" s="1"/>
  <c r="G170" i="11"/>
  <c r="H170" i="11" s="1"/>
  <c r="E165" i="10"/>
  <c r="F165" i="10" s="1"/>
  <c r="G165" i="10" s="1"/>
  <c r="C166" i="10" s="1"/>
  <c r="D175" i="10"/>
  <c r="B172" i="11" l="1"/>
  <c r="G171" i="11"/>
  <c r="H171" i="11" s="1"/>
  <c r="E171" i="11"/>
  <c r="F171" i="11" s="1"/>
  <c r="C173" i="11"/>
  <c r="D172" i="11"/>
  <c r="E166" i="10"/>
  <c r="F166" i="10" s="1"/>
  <c r="G166" i="10" s="1"/>
  <c r="C167" i="10" s="1"/>
  <c r="D176" i="10"/>
  <c r="D173" i="11" l="1"/>
  <c r="C174" i="11"/>
  <c r="G172" i="11"/>
  <c r="H172" i="11" s="1"/>
  <c r="E172" i="11"/>
  <c r="F172" i="11" s="1"/>
  <c r="B173" i="11"/>
  <c r="E167" i="10"/>
  <c r="F167" i="10" s="1"/>
  <c r="G167" i="10" s="1"/>
  <c r="C168" i="10" s="1"/>
  <c r="D177" i="10"/>
  <c r="B174" i="11" l="1"/>
  <c r="G173" i="11"/>
  <c r="H173" i="11" s="1"/>
  <c r="E173" i="11"/>
  <c r="F173" i="11" s="1"/>
  <c r="C175" i="11"/>
  <c r="D174" i="11"/>
  <c r="E168" i="10"/>
  <c r="F168" i="10" s="1"/>
  <c r="G168" i="10" s="1"/>
  <c r="C169" i="10" s="1"/>
  <c r="D178" i="10"/>
  <c r="D175" i="11" l="1"/>
  <c r="C176" i="11"/>
  <c r="B175" i="11"/>
  <c r="G174" i="11"/>
  <c r="H174" i="11" s="1"/>
  <c r="E174" i="11"/>
  <c r="F174" i="11" s="1"/>
  <c r="E169" i="10"/>
  <c r="F169" i="10" s="1"/>
  <c r="G169" i="10" s="1"/>
  <c r="C170" i="10" s="1"/>
  <c r="D179" i="10"/>
  <c r="E175" i="11" l="1"/>
  <c r="F175" i="11" s="1"/>
  <c r="G175" i="11"/>
  <c r="H175" i="11" s="1"/>
  <c r="B176" i="11"/>
  <c r="C177" i="11"/>
  <c r="D176" i="11"/>
  <c r="E170" i="10"/>
  <c r="F170" i="10" s="1"/>
  <c r="G170" i="10" s="1"/>
  <c r="C171" i="10" s="1"/>
  <c r="D180" i="10"/>
  <c r="C178" i="11" l="1"/>
  <c r="D177" i="11"/>
  <c r="B177" i="11"/>
  <c r="G176" i="11"/>
  <c r="H176" i="11" s="1"/>
  <c r="E176" i="11"/>
  <c r="F176" i="11" s="1"/>
  <c r="E171" i="10"/>
  <c r="F171" i="10" s="1"/>
  <c r="G171" i="10" s="1"/>
  <c r="C172" i="10" s="1"/>
  <c r="D181" i="10"/>
  <c r="G177" i="11" l="1"/>
  <c r="H177" i="11" s="1"/>
  <c r="E177" i="11"/>
  <c r="F177" i="11" s="1"/>
  <c r="B178" i="11"/>
  <c r="D178" i="11"/>
  <c r="C179" i="11"/>
  <c r="E172" i="10"/>
  <c r="F172" i="10" s="1"/>
  <c r="G172" i="10" s="1"/>
  <c r="C173" i="10" s="1"/>
  <c r="D182" i="10"/>
  <c r="C180" i="11" l="1"/>
  <c r="D179" i="11"/>
  <c r="B179" i="11"/>
  <c r="G178" i="11"/>
  <c r="H178" i="11" s="1"/>
  <c r="E178" i="11"/>
  <c r="F178" i="11" s="1"/>
  <c r="E173" i="10"/>
  <c r="F173" i="10" s="1"/>
  <c r="G173" i="10" s="1"/>
  <c r="C174" i="10" s="1"/>
  <c r="D183" i="10"/>
  <c r="G179" i="11" l="1"/>
  <c r="H179" i="11" s="1"/>
  <c r="B180" i="11"/>
  <c r="E179" i="11"/>
  <c r="F179" i="11" s="1"/>
  <c r="D180" i="11"/>
  <c r="C181" i="11"/>
  <c r="E174" i="10"/>
  <c r="F174" i="10" s="1"/>
  <c r="G174" i="10" s="1"/>
  <c r="C175" i="10" s="1"/>
  <c r="D184" i="10"/>
  <c r="D181" i="11" l="1"/>
  <c r="C182" i="11"/>
  <c r="E180" i="11"/>
  <c r="F180" i="11" s="1"/>
  <c r="B181" i="11"/>
  <c r="G180" i="11"/>
  <c r="H180" i="11" s="1"/>
  <c r="E175" i="10"/>
  <c r="F175" i="10" s="1"/>
  <c r="G175" i="10" s="1"/>
  <c r="C176" i="10" s="1"/>
  <c r="D185" i="10"/>
  <c r="B182" i="11" l="1"/>
  <c r="E181" i="11"/>
  <c r="F181" i="11" s="1"/>
  <c r="G181" i="11"/>
  <c r="H181" i="11" s="1"/>
  <c r="C183" i="11"/>
  <c r="D182" i="11"/>
  <c r="E176" i="10"/>
  <c r="F176" i="10" s="1"/>
  <c r="G176" i="10" s="1"/>
  <c r="C177" i="10" s="1"/>
  <c r="D186" i="10"/>
  <c r="C184" i="11" l="1"/>
  <c r="D183" i="11"/>
  <c r="B183" i="11"/>
  <c r="G182" i="11"/>
  <c r="H182" i="11" s="1"/>
  <c r="E182" i="11"/>
  <c r="F182" i="11" s="1"/>
  <c r="E177" i="10"/>
  <c r="F177" i="10" s="1"/>
  <c r="G177" i="10" s="1"/>
  <c r="C178" i="10" s="1"/>
  <c r="D187" i="10"/>
  <c r="G183" i="11" l="1"/>
  <c r="H183" i="11" s="1"/>
  <c r="B184" i="11"/>
  <c r="E183" i="11"/>
  <c r="F183" i="11" s="1"/>
  <c r="D184" i="11"/>
  <c r="C185" i="11"/>
  <c r="E178" i="10"/>
  <c r="F178" i="10" s="1"/>
  <c r="G178" i="10" s="1"/>
  <c r="C179" i="10" s="1"/>
  <c r="D188" i="10"/>
  <c r="D185" i="11" l="1"/>
  <c r="C186" i="11"/>
  <c r="B185" i="11"/>
  <c r="G184" i="11"/>
  <c r="H184" i="11" s="1"/>
  <c r="E184" i="11"/>
  <c r="F184" i="11" s="1"/>
  <c r="E179" i="10"/>
  <c r="F179" i="10" s="1"/>
  <c r="G179" i="10"/>
  <c r="C180" i="10" s="1"/>
  <c r="D189" i="10"/>
  <c r="G185" i="11" l="1"/>
  <c r="H185" i="11" s="1"/>
  <c r="E185" i="11"/>
  <c r="F185" i="11" s="1"/>
  <c r="B186" i="11"/>
  <c r="C187" i="11"/>
  <c r="D186" i="11"/>
  <c r="D190" i="10"/>
  <c r="E180" i="10"/>
  <c r="F180" i="10" s="1"/>
  <c r="G180" i="10" s="1"/>
  <c r="C181" i="10" s="1"/>
  <c r="C188" i="11" l="1"/>
  <c r="D187" i="11"/>
  <c r="E186" i="11"/>
  <c r="F186" i="11" s="1"/>
  <c r="B187" i="11"/>
  <c r="G186" i="11"/>
  <c r="H186" i="11" s="1"/>
  <c r="E181" i="10"/>
  <c r="F181" i="10" s="1"/>
  <c r="G181" i="10" s="1"/>
  <c r="C182" i="10" s="1"/>
  <c r="D191" i="10"/>
  <c r="G187" i="11" l="1"/>
  <c r="H187" i="11" s="1"/>
  <c r="B188" i="11"/>
  <c r="E187" i="11"/>
  <c r="F187" i="11" s="1"/>
  <c r="D188" i="11"/>
  <c r="C189" i="11"/>
  <c r="E182" i="10"/>
  <c r="F182" i="10" s="1"/>
  <c r="G182" i="10" s="1"/>
  <c r="C183" i="10" s="1"/>
  <c r="D192" i="10"/>
  <c r="G188" i="11" l="1"/>
  <c r="H188" i="11" s="1"/>
  <c r="E188" i="11"/>
  <c r="F188" i="11" s="1"/>
  <c r="B189" i="11"/>
  <c r="C190" i="11"/>
  <c r="D189" i="11"/>
  <c r="D193" i="10"/>
  <c r="E183" i="10"/>
  <c r="F183" i="10" s="1"/>
  <c r="G183" i="10" s="1"/>
  <c r="C184" i="10" s="1"/>
  <c r="C191" i="11" l="1"/>
  <c r="D190" i="11"/>
  <c r="G189" i="11"/>
  <c r="H189" i="11" s="1"/>
  <c r="E189" i="11"/>
  <c r="F189" i="11" s="1"/>
  <c r="B190" i="11"/>
  <c r="E184" i="10"/>
  <c r="F184" i="10" s="1"/>
  <c r="G184" i="10" s="1"/>
  <c r="C185" i="10" s="1"/>
  <c r="D194" i="10"/>
  <c r="B191" i="11" l="1"/>
  <c r="G190" i="11"/>
  <c r="H190" i="11" s="1"/>
  <c r="E190" i="11"/>
  <c r="F190" i="11" s="1"/>
  <c r="D191" i="11"/>
  <c r="C192" i="11"/>
  <c r="E185" i="10"/>
  <c r="F185" i="10" s="1"/>
  <c r="G185" i="10" s="1"/>
  <c r="C186" i="10" s="1"/>
  <c r="D195" i="10"/>
  <c r="D192" i="11" l="1"/>
  <c r="C193" i="11"/>
  <c r="G191" i="11"/>
  <c r="H191" i="11" s="1"/>
  <c r="B192" i="11"/>
  <c r="E191" i="11"/>
  <c r="F191" i="11" s="1"/>
  <c r="E186" i="10"/>
  <c r="F186" i="10" s="1"/>
  <c r="G186" i="10" s="1"/>
  <c r="C187" i="10" s="1"/>
  <c r="D196" i="10"/>
  <c r="B193" i="11" l="1"/>
  <c r="G192" i="11"/>
  <c r="H192" i="11" s="1"/>
  <c r="E192" i="11"/>
  <c r="F192" i="11" s="1"/>
  <c r="D193" i="11"/>
  <c r="C194" i="11"/>
  <c r="D197" i="10"/>
  <c r="E187" i="10"/>
  <c r="F187" i="10" s="1"/>
  <c r="G187" i="10" s="1"/>
  <c r="C188" i="10" s="1"/>
  <c r="D194" i="11" l="1"/>
  <c r="C195" i="11"/>
  <c r="G193" i="11"/>
  <c r="H193" i="11" s="1"/>
  <c r="E193" i="11"/>
  <c r="F193" i="11" s="1"/>
  <c r="B194" i="11"/>
  <c r="E188" i="10"/>
  <c r="F188" i="10" s="1"/>
  <c r="G188" i="10" s="1"/>
  <c r="C189" i="10" s="1"/>
  <c r="D198" i="10"/>
  <c r="E194" i="11" l="1"/>
  <c r="F194" i="11" s="1"/>
  <c r="G194" i="11"/>
  <c r="H194" i="11" s="1"/>
  <c r="B195" i="11"/>
  <c r="C196" i="11"/>
  <c r="D195" i="11"/>
  <c r="E189" i="10"/>
  <c r="F189" i="10" s="1"/>
  <c r="G189" i="10" s="1"/>
  <c r="C190" i="10" s="1"/>
  <c r="D199" i="10"/>
  <c r="D196" i="11" l="1"/>
  <c r="C197" i="11"/>
  <c r="B196" i="11"/>
  <c r="G195" i="11"/>
  <c r="H195" i="11" s="1"/>
  <c r="E195" i="11"/>
  <c r="F195" i="11" s="1"/>
  <c r="E190" i="10"/>
  <c r="F190" i="10" s="1"/>
  <c r="G190" i="10" s="1"/>
  <c r="C191" i="10" s="1"/>
  <c r="D200" i="10"/>
  <c r="B197" i="11" l="1"/>
  <c r="G196" i="11"/>
  <c r="H196" i="11" s="1"/>
  <c r="E196" i="11"/>
  <c r="F196" i="11" s="1"/>
  <c r="C198" i="11"/>
  <c r="D197" i="11"/>
  <c r="E191" i="10"/>
  <c r="F191" i="10" s="1"/>
  <c r="G191" i="10" s="1"/>
  <c r="C192" i="10" s="1"/>
  <c r="D201" i="10"/>
  <c r="C199" i="11" l="1"/>
  <c r="D198" i="11"/>
  <c r="B198" i="11"/>
  <c r="G197" i="11"/>
  <c r="H197" i="11" s="1"/>
  <c r="E197" i="11"/>
  <c r="F197" i="11" s="1"/>
  <c r="E192" i="10"/>
  <c r="F192" i="10" s="1"/>
  <c r="G192" i="10" s="1"/>
  <c r="C193" i="10" s="1"/>
  <c r="D202" i="10"/>
  <c r="E198" i="11" l="1"/>
  <c r="F198" i="11" s="1"/>
  <c r="B199" i="11"/>
  <c r="G198" i="11"/>
  <c r="H198" i="11" s="1"/>
  <c r="C200" i="11"/>
  <c r="D199" i="11"/>
  <c r="D203" i="10"/>
  <c r="E193" i="10"/>
  <c r="F193" i="10" s="1"/>
  <c r="G193" i="10" s="1"/>
  <c r="C194" i="10" s="1"/>
  <c r="C201" i="11" l="1"/>
  <c r="D200" i="11"/>
  <c r="G199" i="11"/>
  <c r="H199" i="11" s="1"/>
  <c r="E199" i="11"/>
  <c r="F199" i="11" s="1"/>
  <c r="B200" i="11"/>
  <c r="E194" i="10"/>
  <c r="F194" i="10" s="1"/>
  <c r="G194" i="10"/>
  <c r="C195" i="10" s="1"/>
  <c r="D204" i="10"/>
  <c r="B201" i="11" l="1"/>
  <c r="G200" i="11"/>
  <c r="H200" i="11" s="1"/>
  <c r="E200" i="11"/>
  <c r="F200" i="11" s="1"/>
  <c r="C202" i="11"/>
  <c r="D201" i="11"/>
  <c r="D205" i="10"/>
  <c r="E195" i="10"/>
  <c r="F195" i="10" s="1"/>
  <c r="G195" i="10" s="1"/>
  <c r="C196" i="10" s="1"/>
  <c r="D202" i="11" l="1"/>
  <c r="C203" i="11"/>
  <c r="E201" i="11"/>
  <c r="F201" i="11" s="1"/>
  <c r="B202" i="11"/>
  <c r="G201" i="11"/>
  <c r="H201" i="11" s="1"/>
  <c r="E196" i="10"/>
  <c r="F196" i="10" s="1"/>
  <c r="G196" i="10" s="1"/>
  <c r="C197" i="10" s="1"/>
  <c r="D206" i="10"/>
  <c r="G202" i="11" l="1"/>
  <c r="H202" i="11" s="1"/>
  <c r="E202" i="11"/>
  <c r="F202" i="11" s="1"/>
  <c r="B203" i="11"/>
  <c r="D203" i="11"/>
  <c r="C204" i="11"/>
  <c r="E197" i="10"/>
  <c r="F197" i="10" s="1"/>
  <c r="G197" i="10" s="1"/>
  <c r="C198" i="10" s="1"/>
  <c r="D207" i="10"/>
  <c r="C205" i="11" l="1"/>
  <c r="D204" i="11"/>
  <c r="G203" i="11"/>
  <c r="H203" i="11" s="1"/>
  <c r="E203" i="11"/>
  <c r="F203" i="11" s="1"/>
  <c r="B204" i="11"/>
  <c r="E198" i="10"/>
  <c r="F198" i="10" s="1"/>
  <c r="G198" i="10" s="1"/>
  <c r="C199" i="10" s="1"/>
  <c r="D208" i="10"/>
  <c r="E204" i="11" l="1"/>
  <c r="F204" i="11" s="1"/>
  <c r="B205" i="11"/>
  <c r="G204" i="11"/>
  <c r="H204" i="11" s="1"/>
  <c r="D205" i="11"/>
  <c r="C206" i="11"/>
  <c r="E199" i="10"/>
  <c r="F199" i="10" s="1"/>
  <c r="G199" i="10" s="1"/>
  <c r="C200" i="10" s="1"/>
  <c r="D209" i="10"/>
  <c r="C207" i="11" l="1"/>
  <c r="D206" i="11"/>
  <c r="B206" i="11"/>
  <c r="G205" i="11"/>
  <c r="H205" i="11" s="1"/>
  <c r="E205" i="11"/>
  <c r="F205" i="11" s="1"/>
  <c r="E200" i="10"/>
  <c r="F200" i="10" s="1"/>
  <c r="G200" i="10" s="1"/>
  <c r="C201" i="10" s="1"/>
  <c r="D210" i="10"/>
  <c r="G206" i="11" l="1"/>
  <c r="H206" i="11" s="1"/>
  <c r="B207" i="11"/>
  <c r="E206" i="11"/>
  <c r="F206" i="11" s="1"/>
  <c r="C208" i="11"/>
  <c r="D207" i="11"/>
  <c r="E201" i="10"/>
  <c r="F201" i="10" s="1"/>
  <c r="G201" i="10" s="1"/>
  <c r="C202" i="10" s="1"/>
  <c r="D211" i="10"/>
  <c r="D208" i="11" l="1"/>
  <c r="C209" i="11"/>
  <c r="B208" i="11"/>
  <c r="G207" i="11"/>
  <c r="H207" i="11" s="1"/>
  <c r="E207" i="11"/>
  <c r="F207" i="11" s="1"/>
  <c r="E202" i="10"/>
  <c r="F202" i="10" s="1"/>
  <c r="G202" i="10" s="1"/>
  <c r="C203" i="10" s="1"/>
  <c r="D212" i="10"/>
  <c r="E208" i="11" l="1"/>
  <c r="F208" i="11" s="1"/>
  <c r="G208" i="11"/>
  <c r="H208" i="11" s="1"/>
  <c r="B209" i="11"/>
  <c r="C210" i="11"/>
  <c r="D209" i="11"/>
  <c r="D213" i="10"/>
  <c r="E203" i="10"/>
  <c r="F203" i="10" s="1"/>
  <c r="G203" i="10" s="1"/>
  <c r="C204" i="10" s="1"/>
  <c r="C211" i="11" l="1"/>
  <c r="D210" i="11"/>
  <c r="B210" i="11"/>
  <c r="G209" i="11"/>
  <c r="H209" i="11" s="1"/>
  <c r="E209" i="11"/>
  <c r="F209" i="11" s="1"/>
  <c r="E204" i="10"/>
  <c r="F204" i="10" s="1"/>
  <c r="G204" i="10" s="1"/>
  <c r="C205" i="10" s="1"/>
  <c r="D214" i="10"/>
  <c r="B211" i="11" l="1"/>
  <c r="G210" i="11"/>
  <c r="H210" i="11" s="1"/>
  <c r="E210" i="11"/>
  <c r="F210" i="11" s="1"/>
  <c r="D211" i="11"/>
  <c r="C212" i="11"/>
  <c r="E205" i="10"/>
  <c r="F205" i="10" s="1"/>
  <c r="G205" i="10" s="1"/>
  <c r="C206" i="10" s="1"/>
  <c r="D215" i="10"/>
  <c r="C213" i="11" l="1"/>
  <c r="D212" i="11"/>
  <c r="E211" i="11"/>
  <c r="F211" i="11" s="1"/>
  <c r="B212" i="11"/>
  <c r="G211" i="11"/>
  <c r="H211" i="11" s="1"/>
  <c r="E206" i="10"/>
  <c r="F206" i="10" s="1"/>
  <c r="G206" i="10" s="1"/>
  <c r="C207" i="10" s="1"/>
  <c r="D216" i="10"/>
  <c r="B213" i="11" l="1"/>
  <c r="G212" i="11"/>
  <c r="H212" i="11" s="1"/>
  <c r="E212" i="11"/>
  <c r="F212" i="11" s="1"/>
  <c r="C214" i="11"/>
  <c r="D213" i="11"/>
  <c r="D217" i="10"/>
  <c r="E207" i="10"/>
  <c r="F207" i="10" s="1"/>
  <c r="G207" i="10" s="1"/>
  <c r="C208" i="10" s="1"/>
  <c r="D214" i="11" l="1"/>
  <c r="C215" i="11"/>
  <c r="E213" i="11"/>
  <c r="F213" i="11" s="1"/>
  <c r="B214" i="11"/>
  <c r="G213" i="11"/>
  <c r="H213" i="11" s="1"/>
  <c r="E208" i="10"/>
  <c r="F208" i="10" s="1"/>
  <c r="G208" i="10" s="1"/>
  <c r="C209" i="10" s="1"/>
  <c r="D218" i="10"/>
  <c r="B215" i="11" l="1"/>
  <c r="G214" i="11"/>
  <c r="H214" i="11" s="1"/>
  <c r="E214" i="11"/>
  <c r="F214" i="11" s="1"/>
  <c r="D215" i="11"/>
  <c r="C216" i="11"/>
  <c r="D219" i="10"/>
  <c r="E209" i="10"/>
  <c r="F209" i="10" s="1"/>
  <c r="G209" i="10" s="1"/>
  <c r="C210" i="10" s="1"/>
  <c r="C217" i="11" l="1"/>
  <c r="D216" i="11"/>
  <c r="E215" i="11"/>
  <c r="F215" i="11" s="1"/>
  <c r="B216" i="11"/>
  <c r="G215" i="11"/>
  <c r="H215" i="11" s="1"/>
  <c r="E210" i="10"/>
  <c r="F210" i="10" s="1"/>
  <c r="G210" i="10" s="1"/>
  <c r="C211" i="10" s="1"/>
  <c r="D220" i="10"/>
  <c r="B217" i="11" l="1"/>
  <c r="G216" i="11"/>
  <c r="H216" i="11" s="1"/>
  <c r="E216" i="11"/>
  <c r="F216" i="11" s="1"/>
  <c r="D217" i="11"/>
  <c r="C218" i="11"/>
  <c r="D221" i="10"/>
  <c r="E211" i="10"/>
  <c r="F211" i="10" s="1"/>
  <c r="G211" i="10" s="1"/>
  <c r="C212" i="10" s="1"/>
  <c r="D218" i="11" l="1"/>
  <c r="C219" i="11"/>
  <c r="E217" i="11"/>
  <c r="F217" i="11" s="1"/>
  <c r="G217" i="11"/>
  <c r="H217" i="11" s="1"/>
  <c r="B218" i="11"/>
  <c r="E212" i="10"/>
  <c r="F212" i="10" s="1"/>
  <c r="G212" i="10" s="1"/>
  <c r="C213" i="10" s="1"/>
  <c r="D222" i="10"/>
  <c r="E218" i="11" l="1"/>
  <c r="F218" i="11" s="1"/>
  <c r="B219" i="11"/>
  <c r="G218" i="11"/>
  <c r="H218" i="11" s="1"/>
  <c r="C220" i="11"/>
  <c r="D219" i="11"/>
  <c r="E213" i="10"/>
  <c r="F213" i="10" s="1"/>
  <c r="G213" i="10" s="1"/>
  <c r="C214" i="10" s="1"/>
  <c r="D223" i="10"/>
  <c r="C221" i="11" l="1"/>
  <c r="D220" i="11"/>
  <c r="B220" i="11"/>
  <c r="G219" i="11"/>
  <c r="H219" i="11" s="1"/>
  <c r="E219" i="11"/>
  <c r="F219" i="11" s="1"/>
  <c r="D224" i="10"/>
  <c r="E214" i="10"/>
  <c r="F214" i="10" s="1"/>
  <c r="G214" i="10" s="1"/>
  <c r="C215" i="10" s="1"/>
  <c r="B221" i="11" l="1"/>
  <c r="G220" i="11"/>
  <c r="H220" i="11" s="1"/>
  <c r="E220" i="11"/>
  <c r="F220" i="11" s="1"/>
  <c r="C222" i="11"/>
  <c r="D221" i="11"/>
  <c r="E215" i="10"/>
  <c r="F215" i="10" s="1"/>
  <c r="G215" i="10" s="1"/>
  <c r="C216" i="10" s="1"/>
  <c r="D225" i="10"/>
  <c r="D222" i="11" l="1"/>
  <c r="C223" i="11"/>
  <c r="G221" i="11"/>
  <c r="H221" i="11" s="1"/>
  <c r="E221" i="11"/>
  <c r="F221" i="11" s="1"/>
  <c r="B222" i="11"/>
  <c r="E216" i="10"/>
  <c r="F216" i="10" s="1"/>
  <c r="G216" i="10" s="1"/>
  <c r="C217" i="10" s="1"/>
  <c r="D226" i="10"/>
  <c r="B223" i="11" l="1"/>
  <c r="G222" i="11"/>
  <c r="H222" i="11" s="1"/>
  <c r="E222" i="11"/>
  <c r="F222" i="11" s="1"/>
  <c r="D223" i="11"/>
  <c r="C224" i="11"/>
  <c r="E217" i="10"/>
  <c r="F217" i="10" s="1"/>
  <c r="G217" i="10" s="1"/>
  <c r="C218" i="10" s="1"/>
  <c r="D227" i="10"/>
  <c r="C225" i="11" l="1"/>
  <c r="D224" i="11"/>
  <c r="E223" i="11"/>
  <c r="F223" i="11" s="1"/>
  <c r="B224" i="11"/>
  <c r="G223" i="11"/>
  <c r="H223" i="11" s="1"/>
  <c r="E218" i="10"/>
  <c r="F218" i="10" s="1"/>
  <c r="G218" i="10" s="1"/>
  <c r="C219" i="10" s="1"/>
  <c r="D228" i="10"/>
  <c r="G224" i="11" l="1"/>
  <c r="H224" i="11" s="1"/>
  <c r="B225" i="11"/>
  <c r="E224" i="11"/>
  <c r="F224" i="11" s="1"/>
  <c r="C226" i="11"/>
  <c r="D225" i="11"/>
  <c r="D229" i="10"/>
  <c r="E219" i="10"/>
  <c r="F219" i="10" s="1"/>
  <c r="G219" i="10" s="1"/>
  <c r="C220" i="10" s="1"/>
  <c r="D226" i="11" l="1"/>
  <c r="C227" i="11"/>
  <c r="B226" i="11"/>
  <c r="G225" i="11"/>
  <c r="H225" i="11" s="1"/>
  <c r="E225" i="11"/>
  <c r="F225" i="11" s="1"/>
  <c r="E220" i="10"/>
  <c r="F220" i="10" s="1"/>
  <c r="G220" i="10" s="1"/>
  <c r="C221" i="10" s="1"/>
  <c r="D230" i="10"/>
  <c r="B227" i="11" l="1"/>
  <c r="E226" i="11"/>
  <c r="F226" i="11" s="1"/>
  <c r="G226" i="11"/>
  <c r="H226" i="11" s="1"/>
  <c r="C228" i="11"/>
  <c r="D227" i="11"/>
  <c r="E221" i="10"/>
  <c r="F221" i="10" s="1"/>
  <c r="G221" i="10" s="1"/>
  <c r="C222" i="10" s="1"/>
  <c r="D231" i="10"/>
  <c r="D228" i="11" l="1"/>
  <c r="C229" i="11"/>
  <c r="B228" i="11"/>
  <c r="G227" i="11"/>
  <c r="H227" i="11" s="1"/>
  <c r="E227" i="11"/>
  <c r="F227" i="11" s="1"/>
  <c r="D232" i="10"/>
  <c r="E222" i="10"/>
  <c r="F222" i="10" s="1"/>
  <c r="G222" i="10" s="1"/>
  <c r="C223" i="10" s="1"/>
  <c r="E228" i="11" l="1"/>
  <c r="F228" i="11" s="1"/>
  <c r="B229" i="11"/>
  <c r="G228" i="11"/>
  <c r="H228" i="11" s="1"/>
  <c r="D229" i="11"/>
  <c r="C230" i="11"/>
  <c r="E223" i="10"/>
  <c r="F223" i="10" s="1"/>
  <c r="G223" i="10" s="1"/>
  <c r="C224" i="10" s="1"/>
  <c r="D233" i="10"/>
  <c r="D230" i="11" l="1"/>
  <c r="C231" i="11"/>
  <c r="B230" i="11"/>
  <c r="G229" i="11"/>
  <c r="H229" i="11" s="1"/>
  <c r="E229" i="11"/>
  <c r="F229" i="11" s="1"/>
  <c r="D234" i="10"/>
  <c r="E224" i="10"/>
  <c r="F224" i="10" s="1"/>
  <c r="G224" i="10" s="1"/>
  <c r="C225" i="10" s="1"/>
  <c r="B231" i="11" l="1"/>
  <c r="G230" i="11"/>
  <c r="H230" i="11" s="1"/>
  <c r="E230" i="11"/>
  <c r="F230" i="11" s="1"/>
  <c r="D231" i="11"/>
  <c r="C232" i="11"/>
  <c r="E225" i="10"/>
  <c r="F225" i="10" s="1"/>
  <c r="G225" i="10" s="1"/>
  <c r="C226" i="10" s="1"/>
  <c r="D235" i="10"/>
  <c r="C233" i="11" l="1"/>
  <c r="D232" i="11"/>
  <c r="G231" i="11"/>
  <c r="H231" i="11" s="1"/>
  <c r="E231" i="11"/>
  <c r="F231" i="11" s="1"/>
  <c r="B232" i="11"/>
  <c r="E226" i="10"/>
  <c r="F226" i="10" s="1"/>
  <c r="G226" i="10" s="1"/>
  <c r="C227" i="10" s="1"/>
  <c r="D236" i="10"/>
  <c r="E232" i="11" l="1"/>
  <c r="F232" i="11" s="1"/>
  <c r="B233" i="11"/>
  <c r="G232" i="11"/>
  <c r="H232" i="11" s="1"/>
  <c r="D233" i="11"/>
  <c r="C234" i="11"/>
  <c r="E227" i="10"/>
  <c r="F227" i="10" s="1"/>
  <c r="G227" i="10" s="1"/>
  <c r="C228" i="10" s="1"/>
  <c r="D237" i="10"/>
  <c r="D234" i="11" l="1"/>
  <c r="C235" i="11"/>
  <c r="E233" i="11"/>
  <c r="F233" i="11" s="1"/>
  <c r="B234" i="11"/>
  <c r="G233" i="11"/>
  <c r="H233" i="11" s="1"/>
  <c r="D238" i="10"/>
  <c r="E228" i="10"/>
  <c r="F228" i="10" s="1"/>
  <c r="G228" i="10" s="1"/>
  <c r="C229" i="10" s="1"/>
  <c r="G234" i="11" l="1"/>
  <c r="H234" i="11" s="1"/>
  <c r="E234" i="11"/>
  <c r="F234" i="11" s="1"/>
  <c r="B235" i="11"/>
  <c r="C236" i="11"/>
  <c r="D235" i="11"/>
  <c r="E229" i="10"/>
  <c r="F229" i="10" s="1"/>
  <c r="G229" i="10" s="1"/>
  <c r="C230" i="10" s="1"/>
  <c r="D239" i="10"/>
  <c r="C237" i="11" l="1"/>
  <c r="D236" i="11"/>
  <c r="G235" i="11"/>
  <c r="H235" i="11" s="1"/>
  <c r="B236" i="11"/>
  <c r="E235" i="11"/>
  <c r="F235" i="11" s="1"/>
  <c r="E230" i="10"/>
  <c r="F230" i="10" s="1"/>
  <c r="G230" i="10" s="1"/>
  <c r="C231" i="10" s="1"/>
  <c r="D240" i="10"/>
  <c r="B237" i="11" l="1"/>
  <c r="G236" i="11"/>
  <c r="H236" i="11" s="1"/>
  <c r="E236" i="11"/>
  <c r="F236" i="11" s="1"/>
  <c r="C238" i="11"/>
  <c r="D237" i="11"/>
  <c r="D241" i="10"/>
  <c r="E231" i="10"/>
  <c r="F231" i="10" s="1"/>
  <c r="G231" i="10" s="1"/>
  <c r="C232" i="10" s="1"/>
  <c r="D238" i="11" l="1"/>
  <c r="C239" i="11"/>
  <c r="E237" i="11"/>
  <c r="F237" i="11" s="1"/>
  <c r="B238" i="11"/>
  <c r="G237" i="11"/>
  <c r="H237" i="11" s="1"/>
  <c r="E232" i="10"/>
  <c r="F232" i="10" s="1"/>
  <c r="G232" i="10" s="1"/>
  <c r="C233" i="10" s="1"/>
  <c r="D242" i="10"/>
  <c r="B239" i="11" l="1"/>
  <c r="E238" i="11"/>
  <c r="F238" i="11" s="1"/>
  <c r="G238" i="11"/>
  <c r="H238" i="11" s="1"/>
  <c r="C240" i="11"/>
  <c r="D239" i="11"/>
  <c r="D243" i="10"/>
  <c r="E233" i="10"/>
  <c r="F233" i="10" s="1"/>
  <c r="G233" i="10"/>
  <c r="C234" i="10" s="1"/>
  <c r="C241" i="11" l="1"/>
  <c r="D240" i="11"/>
  <c r="B240" i="11"/>
  <c r="G239" i="11"/>
  <c r="H239" i="11" s="1"/>
  <c r="E239" i="11"/>
  <c r="F239" i="11" s="1"/>
  <c r="D244" i="10"/>
  <c r="E234" i="10"/>
  <c r="F234" i="10" s="1"/>
  <c r="G234" i="10" s="1"/>
  <c r="C235" i="10" s="1"/>
  <c r="B241" i="11" l="1"/>
  <c r="G240" i="11"/>
  <c r="H240" i="11" s="1"/>
  <c r="E240" i="11"/>
  <c r="F240" i="11" s="1"/>
  <c r="C242" i="11"/>
  <c r="D241" i="11"/>
  <c r="E235" i="10"/>
  <c r="F235" i="10" s="1"/>
  <c r="G235" i="10" s="1"/>
  <c r="C236" i="10" s="1"/>
  <c r="D245" i="10"/>
  <c r="C243" i="11" l="1"/>
  <c r="D242" i="11"/>
  <c r="B242" i="11"/>
  <c r="G241" i="11"/>
  <c r="H241" i="11" s="1"/>
  <c r="E241" i="11"/>
  <c r="F241" i="11" s="1"/>
  <c r="E236" i="10"/>
  <c r="F236" i="10" s="1"/>
  <c r="G236" i="10" s="1"/>
  <c r="C237" i="10" s="1"/>
  <c r="D246" i="10"/>
  <c r="B243" i="11" l="1"/>
  <c r="G242" i="11"/>
  <c r="H242" i="11" s="1"/>
  <c r="E242" i="11"/>
  <c r="F242" i="11" s="1"/>
  <c r="D243" i="11"/>
  <c r="C244" i="11"/>
  <c r="E237" i="10"/>
  <c r="F237" i="10" s="1"/>
  <c r="G237" i="10" s="1"/>
  <c r="C238" i="10" s="1"/>
  <c r="D247" i="10"/>
  <c r="D244" i="11" l="1"/>
  <c r="C245" i="11"/>
  <c r="E243" i="11"/>
  <c r="F243" i="11" s="1"/>
  <c r="G243" i="11"/>
  <c r="H243" i="11" s="1"/>
  <c r="B244" i="11"/>
  <c r="E238" i="10"/>
  <c r="F238" i="10" s="1"/>
  <c r="G238" i="10"/>
  <c r="C239" i="10" s="1"/>
  <c r="D248" i="10"/>
  <c r="B245" i="11" l="1"/>
  <c r="G244" i="11"/>
  <c r="H244" i="11" s="1"/>
  <c r="E244" i="11"/>
  <c r="F244" i="11" s="1"/>
  <c r="C246" i="11"/>
  <c r="D245" i="11"/>
  <c r="D249" i="10"/>
  <c r="E239" i="10"/>
  <c r="F239" i="10" s="1"/>
  <c r="G239" i="10" s="1"/>
  <c r="C240" i="10" s="1"/>
  <c r="D246" i="11" l="1"/>
  <c r="C247" i="11"/>
  <c r="E245" i="11"/>
  <c r="F245" i="11" s="1"/>
  <c r="B246" i="11"/>
  <c r="G245" i="11"/>
  <c r="H245" i="11" s="1"/>
  <c r="E240" i="10"/>
  <c r="F240" i="10" s="1"/>
  <c r="G240" i="10"/>
  <c r="C241" i="10" s="1"/>
  <c r="D250" i="10"/>
  <c r="E246" i="11" l="1"/>
  <c r="F246" i="11" s="1"/>
  <c r="B247" i="11"/>
  <c r="G246" i="11"/>
  <c r="H246" i="11" s="1"/>
  <c r="C248" i="11"/>
  <c r="D247" i="11"/>
  <c r="D251" i="10"/>
  <c r="E241" i="10"/>
  <c r="F241" i="10" s="1"/>
  <c r="G241" i="10" s="1"/>
  <c r="C242" i="10" s="1"/>
  <c r="D248" i="11" l="1"/>
  <c r="C249" i="11"/>
  <c r="B248" i="11"/>
  <c r="G247" i="11"/>
  <c r="H247" i="11" s="1"/>
  <c r="E247" i="11"/>
  <c r="F247" i="11" s="1"/>
  <c r="E242" i="10"/>
  <c r="F242" i="10" s="1"/>
  <c r="G242" i="10" s="1"/>
  <c r="C243" i="10" s="1"/>
  <c r="D252" i="10"/>
  <c r="E248" i="11" l="1"/>
  <c r="F248" i="11" s="1"/>
  <c r="B249" i="11"/>
  <c r="G248" i="11"/>
  <c r="H248" i="11" s="1"/>
  <c r="C250" i="11"/>
  <c r="D249" i="11"/>
  <c r="E243" i="10"/>
  <c r="F243" i="10" s="1"/>
  <c r="G243" i="10" s="1"/>
  <c r="C244" i="10" s="1"/>
  <c r="D253" i="10"/>
  <c r="C251" i="11" l="1"/>
  <c r="D250" i="11"/>
  <c r="G249" i="11"/>
  <c r="H249" i="11" s="1"/>
  <c r="B250" i="11"/>
  <c r="E249" i="11"/>
  <c r="F249" i="11" s="1"/>
  <c r="E244" i="10"/>
  <c r="F244" i="10" s="1"/>
  <c r="G244" i="10" s="1"/>
  <c r="C245" i="10" s="1"/>
  <c r="D254" i="10"/>
  <c r="B251" i="11" l="1"/>
  <c r="G250" i="11"/>
  <c r="H250" i="11" s="1"/>
  <c r="E250" i="11"/>
  <c r="F250" i="11" s="1"/>
  <c r="C252" i="11"/>
  <c r="D251" i="11"/>
  <c r="E245" i="10"/>
  <c r="F245" i="10" s="1"/>
  <c r="G245" i="10" s="1"/>
  <c r="C246" i="10" s="1"/>
  <c r="D255" i="10"/>
  <c r="C253" i="11" l="1"/>
  <c r="D252" i="11"/>
  <c r="B252" i="11"/>
  <c r="G251" i="11"/>
  <c r="H251" i="11" s="1"/>
  <c r="E251" i="11"/>
  <c r="F251" i="11" s="1"/>
  <c r="E246" i="10"/>
  <c r="F246" i="10" s="1"/>
  <c r="G246" i="10" s="1"/>
  <c r="C247" i="10" s="1"/>
  <c r="D256" i="10"/>
  <c r="E252" i="11" l="1"/>
  <c r="F252" i="11" s="1"/>
  <c r="B253" i="11"/>
  <c r="G252" i="11"/>
  <c r="H252" i="11" s="1"/>
  <c r="D253" i="11"/>
  <c r="C254" i="11"/>
  <c r="E247" i="10"/>
  <c r="F247" i="10" s="1"/>
  <c r="G247" i="10" s="1"/>
  <c r="C248" i="10" s="1"/>
  <c r="D257" i="10"/>
  <c r="C255" i="11" l="1"/>
  <c r="D254" i="11"/>
  <c r="B254" i="11"/>
  <c r="E253" i="11"/>
  <c r="F253" i="11" s="1"/>
  <c r="G253" i="11"/>
  <c r="H253" i="11" s="1"/>
  <c r="D258" i="10"/>
  <c r="E248" i="10"/>
  <c r="F248" i="10" s="1"/>
  <c r="G248" i="10" s="1"/>
  <c r="C249" i="10" s="1"/>
  <c r="B255" i="11" l="1"/>
  <c r="G254" i="11"/>
  <c r="H254" i="11" s="1"/>
  <c r="E254" i="11"/>
  <c r="F254" i="11" s="1"/>
  <c r="C256" i="11"/>
  <c r="D255" i="11"/>
  <c r="E249" i="10"/>
  <c r="F249" i="10" s="1"/>
  <c r="G249" i="10" s="1"/>
  <c r="C250" i="10" s="1"/>
  <c r="D259" i="10"/>
  <c r="C257" i="11" l="1"/>
  <c r="D256" i="11"/>
  <c r="G255" i="11"/>
  <c r="H255" i="11" s="1"/>
  <c r="B256" i="11"/>
  <c r="E255" i="11"/>
  <c r="F255" i="11" s="1"/>
  <c r="E250" i="10"/>
  <c r="F250" i="10" s="1"/>
  <c r="G250" i="10" s="1"/>
  <c r="C251" i="10" s="1"/>
  <c r="D260" i="10"/>
  <c r="B257" i="11" l="1"/>
  <c r="G256" i="11"/>
  <c r="H256" i="11" s="1"/>
  <c r="E256" i="11"/>
  <c r="F256" i="11" s="1"/>
  <c r="C258" i="11"/>
  <c r="D257" i="11"/>
  <c r="E251" i="10"/>
  <c r="F251" i="10" s="1"/>
  <c r="G251" i="10" s="1"/>
  <c r="C252" i="10" s="1"/>
  <c r="D261" i="10"/>
  <c r="D258" i="11" l="1"/>
  <c r="C259" i="11"/>
  <c r="G257" i="11"/>
  <c r="H257" i="11" s="1"/>
  <c r="E257" i="11"/>
  <c r="F257" i="11" s="1"/>
  <c r="B258" i="11"/>
  <c r="E252" i="10"/>
  <c r="F252" i="10" s="1"/>
  <c r="G252" i="10" s="1"/>
  <c r="C253" i="10" s="1"/>
  <c r="D262" i="10"/>
  <c r="E258" i="11" l="1"/>
  <c r="F258" i="11" s="1"/>
  <c r="B259" i="11"/>
  <c r="G258" i="11"/>
  <c r="H258" i="11" s="1"/>
  <c r="C260" i="11"/>
  <c r="D259" i="11"/>
  <c r="E253" i="10"/>
  <c r="F253" i="10" s="1"/>
  <c r="G253" i="10" s="1"/>
  <c r="C254" i="10" s="1"/>
  <c r="D263" i="10"/>
  <c r="C261" i="11" l="1"/>
  <c r="D260" i="11"/>
  <c r="E259" i="11"/>
  <c r="F259" i="11" s="1"/>
  <c r="B260" i="11"/>
  <c r="G259" i="11"/>
  <c r="H259" i="11" s="1"/>
  <c r="E254" i="10"/>
  <c r="F254" i="10" s="1"/>
  <c r="G254" i="10" s="1"/>
  <c r="C255" i="10" s="1"/>
  <c r="D264" i="10"/>
  <c r="E260" i="11" l="1"/>
  <c r="F260" i="11" s="1"/>
  <c r="B261" i="11"/>
  <c r="G260" i="11"/>
  <c r="H260" i="11" s="1"/>
  <c r="C262" i="11"/>
  <c r="D261" i="11"/>
  <c r="D265" i="10"/>
  <c r="E255" i="10"/>
  <c r="F255" i="10" s="1"/>
  <c r="G255" i="10" s="1"/>
  <c r="C256" i="10" s="1"/>
  <c r="C263" i="11" l="1"/>
  <c r="D262" i="11"/>
  <c r="G261" i="11"/>
  <c r="H261" i="11" s="1"/>
  <c r="B262" i="11"/>
  <c r="E261" i="11"/>
  <c r="F261" i="11" s="1"/>
  <c r="E256" i="10"/>
  <c r="F256" i="10" s="1"/>
  <c r="G256" i="10" s="1"/>
  <c r="C257" i="10" s="1"/>
  <c r="D266" i="10"/>
  <c r="G262" i="11" l="1"/>
  <c r="H262" i="11" s="1"/>
  <c r="B263" i="11"/>
  <c r="E262" i="11"/>
  <c r="F262" i="11" s="1"/>
  <c r="D263" i="11"/>
  <c r="C264" i="11"/>
  <c r="E257" i="10"/>
  <c r="F257" i="10" s="1"/>
  <c r="G257" i="10" s="1"/>
  <c r="C258" i="10" s="1"/>
  <c r="D267" i="10"/>
  <c r="C265" i="11" l="1"/>
  <c r="D264" i="11"/>
  <c r="B264" i="11"/>
  <c r="E263" i="11"/>
  <c r="F263" i="11" s="1"/>
  <c r="G263" i="11"/>
  <c r="H263" i="11" s="1"/>
  <c r="E258" i="10"/>
  <c r="F258" i="10" s="1"/>
  <c r="G258" i="10" s="1"/>
  <c r="C259" i="10" s="1"/>
  <c r="D268" i="10"/>
  <c r="B265" i="11" l="1"/>
  <c r="G264" i="11"/>
  <c r="H264" i="11" s="1"/>
  <c r="E264" i="11"/>
  <c r="F264" i="11" s="1"/>
  <c r="C266" i="11"/>
  <c r="D265" i="11"/>
  <c r="E259" i="10"/>
  <c r="F259" i="10" s="1"/>
  <c r="G259" i="10" s="1"/>
  <c r="C260" i="10" s="1"/>
  <c r="D269" i="10"/>
  <c r="D266" i="11" l="1"/>
  <c r="C267" i="11"/>
  <c r="G265" i="11"/>
  <c r="H265" i="11" s="1"/>
  <c r="B266" i="11"/>
  <c r="E265" i="11"/>
  <c r="F265" i="11" s="1"/>
  <c r="E260" i="10"/>
  <c r="F260" i="10" s="1"/>
  <c r="G260" i="10" s="1"/>
  <c r="C261" i="10" s="1"/>
  <c r="D270" i="10"/>
  <c r="B267" i="11" l="1"/>
  <c r="G266" i="11"/>
  <c r="H266" i="11" s="1"/>
  <c r="E266" i="11"/>
  <c r="F266" i="11" s="1"/>
  <c r="C268" i="11"/>
  <c r="D267" i="11"/>
  <c r="E261" i="10"/>
  <c r="F261" i="10" s="1"/>
  <c r="G261" i="10" s="1"/>
  <c r="C262" i="10" s="1"/>
  <c r="D271" i="10"/>
  <c r="C269" i="11" l="1"/>
  <c r="D268" i="11"/>
  <c r="B268" i="11"/>
  <c r="G267" i="11"/>
  <c r="H267" i="11" s="1"/>
  <c r="E267" i="11"/>
  <c r="F267" i="11" s="1"/>
  <c r="E262" i="10"/>
  <c r="F262" i="10" s="1"/>
  <c r="G262" i="10" s="1"/>
  <c r="C263" i="10" s="1"/>
  <c r="D272" i="10"/>
  <c r="G268" i="11" l="1"/>
  <c r="H268" i="11" s="1"/>
  <c r="B269" i="11"/>
  <c r="E268" i="11"/>
  <c r="F268" i="11" s="1"/>
  <c r="D269" i="11"/>
  <c r="C270" i="11"/>
  <c r="E263" i="10"/>
  <c r="F263" i="10" s="1"/>
  <c r="G263" i="10" s="1"/>
  <c r="C264" i="10" s="1"/>
  <c r="D273" i="10"/>
  <c r="C271" i="11" l="1"/>
  <c r="D270" i="11"/>
  <c r="G269" i="11"/>
  <c r="H269" i="11" s="1"/>
  <c r="E269" i="11"/>
  <c r="F269" i="11" s="1"/>
  <c r="B270" i="11"/>
  <c r="E264" i="10"/>
  <c r="F264" i="10" s="1"/>
  <c r="G264" i="10" s="1"/>
  <c r="C265" i="10" s="1"/>
  <c r="D274" i="10"/>
  <c r="B271" i="11" l="1"/>
  <c r="G270" i="11"/>
  <c r="H270" i="11" s="1"/>
  <c r="E270" i="11"/>
  <c r="F270" i="11" s="1"/>
  <c r="D271" i="11"/>
  <c r="C272" i="11"/>
  <c r="E265" i="10"/>
  <c r="F265" i="10" s="1"/>
  <c r="G265" i="10" s="1"/>
  <c r="C266" i="10" s="1"/>
  <c r="D275" i="10"/>
  <c r="C273" i="11" l="1"/>
  <c r="D272" i="11"/>
  <c r="B272" i="11"/>
  <c r="E271" i="11"/>
  <c r="F271" i="11" s="1"/>
  <c r="G271" i="11"/>
  <c r="H271" i="11" s="1"/>
  <c r="E266" i="10"/>
  <c r="F266" i="10" s="1"/>
  <c r="G266" i="10" s="1"/>
  <c r="C267" i="10" s="1"/>
  <c r="D276" i="10"/>
  <c r="E272" i="11" l="1"/>
  <c r="F272" i="11" s="1"/>
  <c r="B273" i="11"/>
  <c r="G272" i="11"/>
  <c r="H272" i="11" s="1"/>
  <c r="D273" i="11"/>
  <c r="C274" i="11"/>
  <c r="E267" i="10"/>
  <c r="F267" i="10" s="1"/>
  <c r="G267" i="10" s="1"/>
  <c r="C268" i="10" s="1"/>
  <c r="D277" i="10"/>
  <c r="C275" i="11" l="1"/>
  <c r="D274" i="11"/>
  <c r="E273" i="11"/>
  <c r="F273" i="11" s="1"/>
  <c r="B274" i="11"/>
  <c r="G273" i="11"/>
  <c r="H273" i="11" s="1"/>
  <c r="D278" i="10"/>
  <c r="E268" i="10"/>
  <c r="F268" i="10" s="1"/>
  <c r="G268" i="10" s="1"/>
  <c r="C269" i="10" s="1"/>
  <c r="B275" i="11" l="1"/>
  <c r="G274" i="11"/>
  <c r="H274" i="11" s="1"/>
  <c r="E274" i="11"/>
  <c r="F274" i="11" s="1"/>
  <c r="D275" i="11"/>
  <c r="C276" i="11"/>
  <c r="E269" i="10"/>
  <c r="F269" i="10" s="1"/>
  <c r="G269" i="10" s="1"/>
  <c r="C270" i="10" s="1"/>
  <c r="D279" i="10"/>
  <c r="D276" i="11" l="1"/>
  <c r="C277" i="11"/>
  <c r="G275" i="11"/>
  <c r="H275" i="11" s="1"/>
  <c r="B276" i="11"/>
  <c r="E275" i="11"/>
  <c r="F275" i="11" s="1"/>
  <c r="E270" i="10"/>
  <c r="F270" i="10" s="1"/>
  <c r="G270" i="10" s="1"/>
  <c r="C271" i="10" s="1"/>
  <c r="D280" i="10"/>
  <c r="B277" i="11" l="1"/>
  <c r="G276" i="11"/>
  <c r="H276" i="11" s="1"/>
  <c r="E276" i="11"/>
  <c r="F276" i="11" s="1"/>
  <c r="C278" i="11"/>
  <c r="D277" i="11"/>
  <c r="E271" i="10"/>
  <c r="F271" i="10" s="1"/>
  <c r="G271" i="10" s="1"/>
  <c r="C272" i="10" s="1"/>
  <c r="D281" i="10"/>
  <c r="D278" i="11" l="1"/>
  <c r="C279" i="11"/>
  <c r="G277" i="11"/>
  <c r="H277" i="11" s="1"/>
  <c r="B278" i="11"/>
  <c r="E277" i="11"/>
  <c r="F277" i="11" s="1"/>
  <c r="E272" i="10"/>
  <c r="F272" i="10" s="1"/>
  <c r="G272" i="10" s="1"/>
  <c r="C273" i="10" s="1"/>
  <c r="D282" i="10"/>
  <c r="E278" i="11" l="1"/>
  <c r="F278" i="11" s="1"/>
  <c r="G278" i="11"/>
  <c r="H278" i="11" s="1"/>
  <c r="B279" i="11"/>
  <c r="D279" i="11"/>
  <c r="C280" i="11"/>
  <c r="E273" i="10"/>
  <c r="F273" i="10" s="1"/>
  <c r="G273" i="10" s="1"/>
  <c r="C274" i="10" s="1"/>
  <c r="D283" i="10"/>
  <c r="D280" i="11" l="1"/>
  <c r="C281" i="11"/>
  <c r="B280" i="11"/>
  <c r="G279" i="11"/>
  <c r="H279" i="11" s="1"/>
  <c r="E279" i="11"/>
  <c r="F279" i="11" s="1"/>
  <c r="E274" i="10"/>
  <c r="F274" i="10" s="1"/>
  <c r="G274" i="10" s="1"/>
  <c r="C275" i="10" s="1"/>
  <c r="D284" i="10"/>
  <c r="B281" i="11" l="1"/>
  <c r="G280" i="11"/>
  <c r="H280" i="11" s="1"/>
  <c r="E280" i="11"/>
  <c r="F280" i="11" s="1"/>
  <c r="D281" i="11"/>
  <c r="C282" i="11"/>
  <c r="E275" i="10"/>
  <c r="F275" i="10" s="1"/>
  <c r="G275" i="10" s="1"/>
  <c r="C276" i="10" s="1"/>
  <c r="D285" i="10"/>
  <c r="C283" i="11" l="1"/>
  <c r="D282" i="11"/>
  <c r="B282" i="11"/>
  <c r="E281" i="11"/>
  <c r="F281" i="11" s="1"/>
  <c r="G281" i="11"/>
  <c r="H281" i="11" s="1"/>
  <c r="D286" i="10"/>
  <c r="E276" i="10"/>
  <c r="F276" i="10" s="1"/>
  <c r="G276" i="10" s="1"/>
  <c r="C277" i="10" s="1"/>
  <c r="G282" i="11" l="1"/>
  <c r="H282" i="11" s="1"/>
  <c r="B283" i="11"/>
  <c r="E282" i="11"/>
  <c r="F282" i="11" s="1"/>
  <c r="C284" i="11"/>
  <c r="D283" i="11"/>
  <c r="E277" i="10"/>
  <c r="F277" i="10" s="1"/>
  <c r="G277" i="10" s="1"/>
  <c r="C278" i="10" s="1"/>
  <c r="D287" i="10"/>
  <c r="D284" i="11" l="1"/>
  <c r="C285" i="11"/>
  <c r="E283" i="11"/>
  <c r="F283" i="11" s="1"/>
  <c r="B284" i="11"/>
  <c r="G283" i="11"/>
  <c r="H283" i="11" s="1"/>
  <c r="E278" i="10"/>
  <c r="F278" i="10" s="1"/>
  <c r="G278" i="10" s="1"/>
  <c r="C279" i="10" s="1"/>
  <c r="D288" i="10"/>
  <c r="B285" i="11" l="1"/>
  <c r="G284" i="11"/>
  <c r="H284" i="11" s="1"/>
  <c r="E284" i="11"/>
  <c r="F284" i="11" s="1"/>
  <c r="C286" i="11"/>
  <c r="D285" i="11"/>
  <c r="E279" i="10"/>
  <c r="F279" i="10" s="1"/>
  <c r="G279" i="10" s="1"/>
  <c r="C280" i="10" s="1"/>
  <c r="D289" i="10"/>
  <c r="D286" i="11" l="1"/>
  <c r="C287" i="11"/>
  <c r="G285" i="11"/>
  <c r="H285" i="11" s="1"/>
  <c r="B286" i="11"/>
  <c r="E285" i="11"/>
  <c r="F285" i="11" s="1"/>
  <c r="E280" i="10"/>
  <c r="F280" i="10" s="1"/>
  <c r="G280" i="10" s="1"/>
  <c r="C281" i="10" s="1"/>
  <c r="D290" i="10"/>
  <c r="B287" i="11" l="1"/>
  <c r="G286" i="11"/>
  <c r="H286" i="11" s="1"/>
  <c r="E286" i="11"/>
  <c r="F286" i="11" s="1"/>
  <c r="D287" i="11"/>
  <c r="C288" i="11"/>
  <c r="E281" i="10"/>
  <c r="F281" i="10" s="1"/>
  <c r="G281" i="10" s="1"/>
  <c r="C282" i="10" s="1"/>
  <c r="D291" i="10"/>
  <c r="D288" i="11" l="1"/>
  <c r="C289" i="11"/>
  <c r="B288" i="11"/>
  <c r="G287" i="11"/>
  <c r="H287" i="11" s="1"/>
  <c r="E287" i="11"/>
  <c r="F287" i="11" s="1"/>
  <c r="E282" i="10"/>
  <c r="F282" i="10" s="1"/>
  <c r="G282" i="10" s="1"/>
  <c r="C283" i="10" s="1"/>
  <c r="D292" i="10"/>
  <c r="E288" i="11" l="1"/>
  <c r="F288" i="11" s="1"/>
  <c r="B289" i="11"/>
  <c r="G288" i="11"/>
  <c r="H288" i="11" s="1"/>
  <c r="D289" i="11"/>
  <c r="C290" i="11"/>
  <c r="E283" i="10"/>
  <c r="F283" i="10" s="1"/>
  <c r="G283" i="10" s="1"/>
  <c r="C284" i="10" s="1"/>
  <c r="D293" i="10"/>
  <c r="D290" i="11" l="1"/>
  <c r="C291" i="11"/>
  <c r="B290" i="11"/>
  <c r="G289" i="11"/>
  <c r="H289" i="11" s="1"/>
  <c r="E289" i="11"/>
  <c r="F289" i="11" s="1"/>
  <c r="E284" i="10"/>
  <c r="F284" i="10" s="1"/>
  <c r="G284" i="10" s="1"/>
  <c r="C285" i="10" s="1"/>
  <c r="D294" i="10"/>
  <c r="G290" i="11" l="1"/>
  <c r="H290" i="11" s="1"/>
  <c r="B291" i="11"/>
  <c r="E290" i="11"/>
  <c r="F290" i="11" s="1"/>
  <c r="C292" i="11"/>
  <c r="D291" i="11"/>
  <c r="E285" i="10"/>
  <c r="F285" i="10" s="1"/>
  <c r="G285" i="10" s="1"/>
  <c r="C286" i="10" s="1"/>
  <c r="D295" i="10"/>
  <c r="C293" i="11" l="1"/>
  <c r="D292" i="11"/>
  <c r="B292" i="11"/>
  <c r="G291" i="11"/>
  <c r="H291" i="11" s="1"/>
  <c r="E291" i="11"/>
  <c r="F291" i="11" s="1"/>
  <c r="D296" i="10"/>
  <c r="E286" i="10"/>
  <c r="F286" i="10" s="1"/>
  <c r="G286" i="10" s="1"/>
  <c r="C287" i="10" s="1"/>
  <c r="B293" i="11" l="1"/>
  <c r="G292" i="11"/>
  <c r="H292" i="11" s="1"/>
  <c r="E292" i="11"/>
  <c r="F292" i="11" s="1"/>
  <c r="C294" i="11"/>
  <c r="D293" i="11"/>
  <c r="E287" i="10"/>
  <c r="F287" i="10" s="1"/>
  <c r="G287" i="10" s="1"/>
  <c r="C288" i="10" s="1"/>
  <c r="D297" i="10"/>
  <c r="C295" i="11" l="1"/>
  <c r="D294" i="11"/>
  <c r="E293" i="11"/>
  <c r="F293" i="11" s="1"/>
  <c r="B294" i="11"/>
  <c r="G293" i="11"/>
  <c r="H293" i="11" s="1"/>
  <c r="E288" i="10"/>
  <c r="F288" i="10" s="1"/>
  <c r="G288" i="10" s="1"/>
  <c r="C289" i="10" s="1"/>
  <c r="D298" i="10"/>
  <c r="B295" i="11" l="1"/>
  <c r="G294" i="11"/>
  <c r="H294" i="11" s="1"/>
  <c r="E294" i="11"/>
  <c r="F294" i="11" s="1"/>
  <c r="C296" i="11"/>
  <c r="D295" i="11"/>
  <c r="E289" i="10"/>
  <c r="F289" i="10" s="1"/>
  <c r="G289" i="10" s="1"/>
  <c r="C290" i="10" s="1"/>
  <c r="D299" i="10"/>
  <c r="C297" i="11" l="1"/>
  <c r="D296" i="11"/>
  <c r="G295" i="11"/>
  <c r="H295" i="11" s="1"/>
  <c r="B296" i="11"/>
  <c r="E295" i="11"/>
  <c r="F295" i="11" s="1"/>
  <c r="E290" i="10"/>
  <c r="F290" i="10" s="1"/>
  <c r="G290" i="10" s="1"/>
  <c r="C291" i="10" s="1"/>
  <c r="D300" i="10"/>
  <c r="E296" i="11" l="1"/>
  <c r="F296" i="11" s="1"/>
  <c r="B297" i="11"/>
  <c r="G296" i="11"/>
  <c r="H296" i="11" s="1"/>
  <c r="C298" i="11"/>
  <c r="D297" i="11"/>
  <c r="E291" i="10"/>
  <c r="F291" i="10" s="1"/>
  <c r="G291" i="10" s="1"/>
  <c r="C292" i="10" s="1"/>
  <c r="D301" i="10"/>
  <c r="D298" i="11" l="1"/>
  <c r="C299" i="11"/>
  <c r="B298" i="11"/>
  <c r="G297" i="11"/>
  <c r="H297" i="11" s="1"/>
  <c r="E297" i="11"/>
  <c r="F297" i="11" s="1"/>
  <c r="E292" i="10"/>
  <c r="F292" i="10" s="1"/>
  <c r="G292" i="10" s="1"/>
  <c r="C293" i="10" s="1"/>
  <c r="D302" i="10"/>
  <c r="B299" i="11" l="1"/>
  <c r="G298" i="11"/>
  <c r="H298" i="11" s="1"/>
  <c r="E298" i="11"/>
  <c r="F298" i="11" s="1"/>
  <c r="D299" i="11"/>
  <c r="C300" i="11"/>
  <c r="D303" i="10"/>
  <c r="E293" i="10"/>
  <c r="F293" i="10" s="1"/>
  <c r="G293" i="10" s="1"/>
  <c r="C294" i="10" s="1"/>
  <c r="C301" i="11" l="1"/>
  <c r="D300" i="11"/>
  <c r="E299" i="11"/>
  <c r="F299" i="11" s="1"/>
  <c r="B300" i="11"/>
  <c r="G299" i="11"/>
  <c r="H299" i="11" s="1"/>
  <c r="E294" i="10"/>
  <c r="F294" i="10" s="1"/>
  <c r="G294" i="10" s="1"/>
  <c r="C295" i="10" s="1"/>
  <c r="D304" i="10"/>
  <c r="G300" i="11" l="1"/>
  <c r="H300" i="11" s="1"/>
  <c r="E300" i="11"/>
  <c r="F300" i="11" s="1"/>
  <c r="B301" i="11"/>
  <c r="C302" i="11"/>
  <c r="D301" i="11"/>
  <c r="E295" i="10"/>
  <c r="F295" i="10" s="1"/>
  <c r="G295" i="10" s="1"/>
  <c r="C296" i="10" s="1"/>
  <c r="D305" i="10"/>
  <c r="C303" i="11" l="1"/>
  <c r="D302" i="11"/>
  <c r="E301" i="11"/>
  <c r="F301" i="11" s="1"/>
  <c r="B302" i="11"/>
  <c r="G301" i="11"/>
  <c r="H301" i="11" s="1"/>
  <c r="E296" i="10"/>
  <c r="F296" i="10" s="1"/>
  <c r="G296" i="10" s="1"/>
  <c r="C297" i="10" s="1"/>
  <c r="D306" i="10"/>
  <c r="B303" i="11" l="1"/>
  <c r="E302" i="11"/>
  <c r="F302" i="11" s="1"/>
  <c r="G302" i="11"/>
  <c r="H302" i="11" s="1"/>
  <c r="D303" i="11"/>
  <c r="C304" i="11"/>
  <c r="E297" i="10"/>
  <c r="F297" i="10" s="1"/>
  <c r="G297" i="10" s="1"/>
  <c r="C298" i="10" s="1"/>
  <c r="D307" i="10"/>
  <c r="C305" i="11" l="1"/>
  <c r="D304" i="11"/>
  <c r="E303" i="11"/>
  <c r="F303" i="11" s="1"/>
  <c r="B304" i="11"/>
  <c r="G303" i="11"/>
  <c r="H303" i="11" s="1"/>
  <c r="E298" i="10"/>
  <c r="F298" i="10" s="1"/>
  <c r="G298" i="10" s="1"/>
  <c r="C299" i="10" s="1"/>
  <c r="D308" i="10"/>
  <c r="B305" i="11" l="1"/>
  <c r="G304" i="11"/>
  <c r="H304" i="11" s="1"/>
  <c r="E304" i="11"/>
  <c r="F304" i="11" s="1"/>
  <c r="C306" i="11"/>
  <c r="D305" i="11"/>
  <c r="E299" i="10"/>
  <c r="F299" i="10" s="1"/>
  <c r="G299" i="10" s="1"/>
  <c r="C300" i="10" s="1"/>
  <c r="D309" i="10"/>
  <c r="D306" i="11" l="1"/>
  <c r="C307" i="11"/>
  <c r="G305" i="11"/>
  <c r="H305" i="11" s="1"/>
  <c r="B306" i="11"/>
  <c r="E305" i="11"/>
  <c r="F305" i="11" s="1"/>
  <c r="E300" i="10"/>
  <c r="F300" i="10" s="1"/>
  <c r="G300" i="10" s="1"/>
  <c r="C301" i="10" s="1"/>
  <c r="D310" i="10"/>
  <c r="G306" i="11" l="1"/>
  <c r="H306" i="11" s="1"/>
  <c r="E306" i="11"/>
  <c r="F306" i="11" s="1"/>
  <c r="B307" i="11"/>
  <c r="C308" i="11"/>
  <c r="D307" i="11"/>
  <c r="E301" i="10"/>
  <c r="F301" i="10" s="1"/>
  <c r="G301" i="10" s="1"/>
  <c r="C302" i="10" s="1"/>
  <c r="D311" i="10"/>
  <c r="D308" i="11" l="1"/>
  <c r="C309" i="11"/>
  <c r="B308" i="11"/>
  <c r="G307" i="11"/>
  <c r="H307" i="11" s="1"/>
  <c r="E307" i="11"/>
  <c r="F307" i="11" s="1"/>
  <c r="E302" i="10"/>
  <c r="F302" i="10" s="1"/>
  <c r="G302" i="10" s="1"/>
  <c r="C303" i="10" s="1"/>
  <c r="D312" i="10"/>
  <c r="E308" i="11" l="1"/>
  <c r="F308" i="11" s="1"/>
  <c r="B309" i="11"/>
  <c r="G308" i="11"/>
  <c r="H308" i="11" s="1"/>
  <c r="C310" i="11"/>
  <c r="D309" i="11"/>
  <c r="E303" i="10"/>
  <c r="F303" i="10" s="1"/>
  <c r="G303" i="10" s="1"/>
  <c r="C304" i="10" s="1"/>
  <c r="D313" i="10"/>
  <c r="C311" i="11" l="1"/>
  <c r="D310" i="11"/>
  <c r="B310" i="11"/>
  <c r="G309" i="11"/>
  <c r="H309" i="11" s="1"/>
  <c r="E309" i="11"/>
  <c r="F309" i="11" s="1"/>
  <c r="E304" i="10"/>
  <c r="F304" i="10" s="1"/>
  <c r="G304" i="10" s="1"/>
  <c r="C305" i="10" s="1"/>
  <c r="D314" i="10"/>
  <c r="E310" i="11" l="1"/>
  <c r="F310" i="11" s="1"/>
  <c r="B311" i="11"/>
  <c r="G310" i="11"/>
  <c r="H310" i="11" s="1"/>
  <c r="C312" i="11"/>
  <c r="D311" i="11"/>
  <c r="D315" i="10"/>
  <c r="E305" i="10"/>
  <c r="F305" i="10" s="1"/>
  <c r="G305" i="10" s="1"/>
  <c r="C306" i="10" s="1"/>
  <c r="C313" i="11" l="1"/>
  <c r="D312" i="11"/>
  <c r="B312" i="11"/>
  <c r="G311" i="11"/>
  <c r="H311" i="11" s="1"/>
  <c r="E311" i="11"/>
  <c r="F311" i="11" s="1"/>
  <c r="D316" i="10"/>
  <c r="E306" i="10"/>
  <c r="F306" i="10" s="1"/>
  <c r="G306" i="10" s="1"/>
  <c r="C307" i="10" s="1"/>
  <c r="E312" i="11" l="1"/>
  <c r="F312" i="11" s="1"/>
  <c r="B313" i="11"/>
  <c r="G312" i="11"/>
  <c r="H312" i="11" s="1"/>
  <c r="D313" i="11"/>
  <c r="C314" i="11"/>
  <c r="E307" i="10"/>
  <c r="F307" i="10" s="1"/>
  <c r="G307" i="10" s="1"/>
  <c r="C308" i="10" s="1"/>
  <c r="D317" i="10"/>
  <c r="D314" i="11" l="1"/>
  <c r="C315" i="11"/>
  <c r="E313" i="11"/>
  <c r="F313" i="11" s="1"/>
  <c r="B314" i="11"/>
  <c r="G313" i="11"/>
  <c r="H313" i="11" s="1"/>
  <c r="E308" i="10"/>
  <c r="F308" i="10" s="1"/>
  <c r="G308" i="10" s="1"/>
  <c r="C309" i="10" s="1"/>
  <c r="D318" i="10"/>
  <c r="B315" i="11" l="1"/>
  <c r="G314" i="11"/>
  <c r="H314" i="11" s="1"/>
  <c r="E314" i="11"/>
  <c r="F314" i="11" s="1"/>
  <c r="D315" i="11"/>
  <c r="C316" i="11"/>
  <c r="E309" i="10"/>
  <c r="F309" i="10" s="1"/>
  <c r="G309" i="10" s="1"/>
  <c r="C310" i="10" s="1"/>
  <c r="D319" i="10"/>
  <c r="C317" i="11" l="1"/>
  <c r="D316" i="11"/>
  <c r="G315" i="11"/>
  <c r="H315" i="11" s="1"/>
  <c r="B316" i="11"/>
  <c r="E315" i="11"/>
  <c r="F315" i="11" s="1"/>
  <c r="D320" i="10"/>
  <c r="E310" i="10"/>
  <c r="F310" i="10" s="1"/>
  <c r="G310" i="10" s="1"/>
  <c r="C311" i="10" s="1"/>
  <c r="E316" i="11" l="1"/>
  <c r="F316" i="11" s="1"/>
  <c r="B317" i="11"/>
  <c r="G316" i="11"/>
  <c r="H316" i="11" s="1"/>
  <c r="C318" i="11"/>
  <c r="D317" i="11"/>
  <c r="E311" i="10"/>
  <c r="F311" i="10" s="1"/>
  <c r="G311" i="10" s="1"/>
  <c r="C312" i="10" s="1"/>
  <c r="D321" i="10"/>
  <c r="D318" i="11" l="1"/>
  <c r="C319" i="11"/>
  <c r="E317" i="11"/>
  <c r="F317" i="11" s="1"/>
  <c r="B318" i="11"/>
  <c r="G317" i="11"/>
  <c r="H317" i="11" s="1"/>
  <c r="E312" i="10"/>
  <c r="F312" i="10" s="1"/>
  <c r="G312" i="10" s="1"/>
  <c r="C313" i="10" s="1"/>
  <c r="D322" i="10"/>
  <c r="G318" i="11" l="1"/>
  <c r="H318" i="11" s="1"/>
  <c r="E318" i="11"/>
  <c r="F318" i="11" s="1"/>
  <c r="B319" i="11"/>
  <c r="C320" i="11"/>
  <c r="D319" i="11"/>
  <c r="E313" i="10"/>
  <c r="F313" i="10" s="1"/>
  <c r="G313" i="10" s="1"/>
  <c r="C314" i="10" s="1"/>
  <c r="D323" i="10"/>
  <c r="C321" i="11" l="1"/>
  <c r="D320" i="11"/>
  <c r="G319" i="11"/>
  <c r="H319" i="11" s="1"/>
  <c r="B320" i="11"/>
  <c r="E319" i="11"/>
  <c r="F319" i="11" s="1"/>
  <c r="D324" i="10"/>
  <c r="E314" i="10"/>
  <c r="F314" i="10" s="1"/>
  <c r="G314" i="10" s="1"/>
  <c r="C315" i="10" s="1"/>
  <c r="B321" i="11" l="1"/>
  <c r="G320" i="11"/>
  <c r="H320" i="11" s="1"/>
  <c r="E320" i="11"/>
  <c r="F320" i="11" s="1"/>
  <c r="D321" i="11"/>
  <c r="C322" i="11"/>
  <c r="E315" i="10"/>
  <c r="F315" i="10" s="1"/>
  <c r="G315" i="10" s="1"/>
  <c r="C316" i="10" s="1"/>
  <c r="D325" i="10"/>
  <c r="C323" i="11" l="1"/>
  <c r="D322" i="11"/>
  <c r="B322" i="11"/>
  <c r="G321" i="11"/>
  <c r="H321" i="11" s="1"/>
  <c r="E321" i="11"/>
  <c r="F321" i="11" s="1"/>
  <c r="E316" i="10"/>
  <c r="F316" i="10" s="1"/>
  <c r="G316" i="10" s="1"/>
  <c r="C317" i="10" s="1"/>
  <c r="D326" i="10"/>
  <c r="B323" i="11" l="1"/>
  <c r="G322" i="11"/>
  <c r="H322" i="11" s="1"/>
  <c r="E322" i="11"/>
  <c r="F322" i="11" s="1"/>
  <c r="D323" i="11"/>
  <c r="C324" i="11"/>
  <c r="D327" i="10"/>
  <c r="E317" i="10"/>
  <c r="F317" i="10" s="1"/>
  <c r="G317" i="10" s="1"/>
  <c r="C318" i="10" s="1"/>
  <c r="C325" i="11" l="1"/>
  <c r="D324" i="11"/>
  <c r="E323" i="11"/>
  <c r="F323" i="11" s="1"/>
  <c r="B324" i="11"/>
  <c r="G323" i="11"/>
  <c r="H323" i="11" s="1"/>
  <c r="E318" i="10"/>
  <c r="F318" i="10" s="1"/>
  <c r="G318" i="10" s="1"/>
  <c r="C319" i="10" s="1"/>
  <c r="D328" i="10"/>
  <c r="G324" i="11" l="1"/>
  <c r="H324" i="11" s="1"/>
  <c r="E324" i="11"/>
  <c r="F324" i="11" s="1"/>
  <c r="B325" i="11"/>
  <c r="C326" i="11"/>
  <c r="D325" i="11"/>
  <c r="E319" i="10"/>
  <c r="F319" i="10" s="1"/>
  <c r="G319" i="10" s="1"/>
  <c r="C320" i="10" s="1"/>
  <c r="D329" i="10"/>
  <c r="C327" i="11" l="1"/>
  <c r="D326" i="11"/>
  <c r="G325" i="11"/>
  <c r="H325" i="11" s="1"/>
  <c r="B326" i="11"/>
  <c r="E325" i="11"/>
  <c r="F325" i="11" s="1"/>
  <c r="E320" i="10"/>
  <c r="F320" i="10" s="1"/>
  <c r="G320" i="10" s="1"/>
  <c r="C321" i="10" s="1"/>
  <c r="D330" i="10"/>
  <c r="G326" i="11" l="1"/>
  <c r="H326" i="11" s="1"/>
  <c r="B327" i="11"/>
  <c r="E326" i="11"/>
  <c r="F326" i="11" s="1"/>
  <c r="D327" i="11"/>
  <c r="C328" i="11"/>
  <c r="E321" i="10"/>
  <c r="F321" i="10" s="1"/>
  <c r="G321" i="10" s="1"/>
  <c r="C322" i="10" s="1"/>
  <c r="D331" i="10"/>
  <c r="D328" i="11" l="1"/>
  <c r="C329" i="11"/>
  <c r="B328" i="11"/>
  <c r="G327" i="11"/>
  <c r="H327" i="11" s="1"/>
  <c r="E327" i="11"/>
  <c r="F327" i="11" s="1"/>
  <c r="D332" i="10"/>
  <c r="E322" i="10"/>
  <c r="F322" i="10" s="1"/>
  <c r="G322" i="10" s="1"/>
  <c r="C323" i="10" s="1"/>
  <c r="B329" i="11" l="1"/>
  <c r="G328" i="11"/>
  <c r="H328" i="11" s="1"/>
  <c r="E328" i="11"/>
  <c r="F328" i="11" s="1"/>
  <c r="C330" i="11"/>
  <c r="D329" i="11"/>
  <c r="E323" i="10"/>
  <c r="F323" i="10" s="1"/>
  <c r="G323" i="10" s="1"/>
  <c r="C324" i="10" s="1"/>
  <c r="D333" i="10"/>
  <c r="C331" i="11" l="1"/>
  <c r="D330" i="11"/>
  <c r="E329" i="11"/>
  <c r="F329" i="11" s="1"/>
  <c r="B330" i="11"/>
  <c r="G329" i="11"/>
  <c r="H329" i="11" s="1"/>
  <c r="E324" i="10"/>
  <c r="F324" i="10" s="1"/>
  <c r="G324" i="10" s="1"/>
  <c r="C325" i="10" s="1"/>
  <c r="D334" i="10"/>
  <c r="G330" i="11" l="1"/>
  <c r="H330" i="11" s="1"/>
  <c r="E330" i="11"/>
  <c r="F330" i="11" s="1"/>
  <c r="B331" i="11"/>
  <c r="D331" i="11"/>
  <c r="C332" i="11"/>
  <c r="E325" i="10"/>
  <c r="F325" i="10" s="1"/>
  <c r="G325" i="10" s="1"/>
  <c r="C326" i="10" s="1"/>
  <c r="D335" i="10"/>
  <c r="C333" i="11" l="1"/>
  <c r="D332" i="11"/>
  <c r="E331" i="11"/>
  <c r="F331" i="11" s="1"/>
  <c r="B332" i="11"/>
  <c r="G331" i="11"/>
  <c r="H331" i="11" s="1"/>
  <c r="E326" i="10"/>
  <c r="F326" i="10" s="1"/>
  <c r="G326" i="10"/>
  <c r="C327" i="10" s="1"/>
  <c r="D336" i="10"/>
  <c r="B333" i="11" l="1"/>
  <c r="G332" i="11"/>
  <c r="H332" i="11" s="1"/>
  <c r="E332" i="11"/>
  <c r="F332" i="11" s="1"/>
  <c r="D333" i="11"/>
  <c r="C334" i="11"/>
  <c r="D337" i="10"/>
  <c r="E327" i="10"/>
  <c r="F327" i="10" s="1"/>
  <c r="G327" i="10" s="1"/>
  <c r="C328" i="10" s="1"/>
  <c r="D334" i="11" l="1"/>
  <c r="C335" i="11"/>
  <c r="G333" i="11"/>
  <c r="H333" i="11" s="1"/>
  <c r="B334" i="11"/>
  <c r="E333" i="11"/>
  <c r="F333" i="11" s="1"/>
  <c r="E328" i="10"/>
  <c r="F328" i="10" s="1"/>
  <c r="G328" i="10" s="1"/>
  <c r="C329" i="10" s="1"/>
  <c r="D338" i="10"/>
  <c r="E334" i="11" l="1"/>
  <c r="F334" i="11" s="1"/>
  <c r="G334" i="11"/>
  <c r="H334" i="11" s="1"/>
  <c r="B335" i="11"/>
  <c r="C336" i="11"/>
  <c r="D335" i="11"/>
  <c r="E329" i="10"/>
  <c r="F329" i="10" s="1"/>
  <c r="G329" i="10" s="1"/>
  <c r="C330" i="10" s="1"/>
  <c r="D339" i="10"/>
  <c r="C337" i="11" l="1"/>
  <c r="D336" i="11"/>
  <c r="B336" i="11"/>
  <c r="G335" i="11"/>
  <c r="H335" i="11" s="1"/>
  <c r="E335" i="11"/>
  <c r="F335" i="11" s="1"/>
  <c r="E330" i="10"/>
  <c r="F330" i="10" s="1"/>
  <c r="G330" i="10" s="1"/>
  <c r="C331" i="10" s="1"/>
  <c r="D340" i="10"/>
  <c r="B337" i="11" l="1"/>
  <c r="G336" i="11"/>
  <c r="H336" i="11" s="1"/>
  <c r="E336" i="11"/>
  <c r="F336" i="11" s="1"/>
  <c r="C338" i="11"/>
  <c r="D337" i="11"/>
  <c r="E331" i="10"/>
  <c r="F331" i="10" s="1"/>
  <c r="G331" i="10" s="1"/>
  <c r="C332" i="10" s="1"/>
  <c r="D341" i="10"/>
  <c r="D338" i="11" l="1"/>
  <c r="C339" i="11"/>
  <c r="B338" i="11"/>
  <c r="E337" i="11"/>
  <c r="F337" i="11" s="1"/>
  <c r="G337" i="11"/>
  <c r="H337" i="11" s="1"/>
  <c r="E332" i="10"/>
  <c r="F332" i="10" s="1"/>
  <c r="G332" i="10" s="1"/>
  <c r="C333" i="10" s="1"/>
  <c r="D342" i="10"/>
  <c r="E338" i="11" l="1"/>
  <c r="F338" i="11" s="1"/>
  <c r="B339" i="11"/>
  <c r="G338" i="11"/>
  <c r="H338" i="11" s="1"/>
  <c r="C340" i="11"/>
  <c r="D339" i="11"/>
  <c r="E333" i="10"/>
  <c r="F333" i="10" s="1"/>
  <c r="G333" i="10" s="1"/>
  <c r="C334" i="10" s="1"/>
  <c r="D343" i="10"/>
  <c r="C341" i="11" l="1"/>
  <c r="D340" i="11"/>
  <c r="B340" i="11"/>
  <c r="G339" i="11"/>
  <c r="H339" i="11" s="1"/>
  <c r="E339" i="11"/>
  <c r="F339" i="11" s="1"/>
  <c r="E334" i="10"/>
  <c r="F334" i="10" s="1"/>
  <c r="G334" i="10" s="1"/>
  <c r="C335" i="10" s="1"/>
  <c r="D344" i="10"/>
  <c r="G340" i="11" l="1"/>
  <c r="H340" i="11" s="1"/>
  <c r="B341" i="11"/>
  <c r="E340" i="11"/>
  <c r="F340" i="11" s="1"/>
  <c r="C342" i="11"/>
  <c r="D341" i="11"/>
  <c r="E335" i="10"/>
  <c r="F335" i="10" s="1"/>
  <c r="G335" i="10" s="1"/>
  <c r="C336" i="10" s="1"/>
  <c r="D345" i="10"/>
  <c r="D342" i="11" l="1"/>
  <c r="C343" i="11"/>
  <c r="B342" i="11"/>
  <c r="G341" i="11"/>
  <c r="H341" i="11" s="1"/>
  <c r="E341" i="11"/>
  <c r="F341" i="11" s="1"/>
  <c r="E336" i="10"/>
  <c r="F336" i="10" s="1"/>
  <c r="G336" i="10"/>
  <c r="C337" i="10" s="1"/>
  <c r="D346" i="10"/>
  <c r="B343" i="11" l="1"/>
  <c r="G342" i="11"/>
  <c r="H342" i="11" s="1"/>
  <c r="E342" i="11"/>
  <c r="F342" i="11" s="1"/>
  <c r="D343" i="11"/>
  <c r="C344" i="11"/>
  <c r="D347" i="10"/>
  <c r="E337" i="10"/>
  <c r="F337" i="10" s="1"/>
  <c r="G337" i="10" s="1"/>
  <c r="C338" i="10" s="1"/>
  <c r="C345" i="11" l="1"/>
  <c r="D344" i="11"/>
  <c r="E343" i="11"/>
  <c r="F343" i="11" s="1"/>
  <c r="B344" i="11"/>
  <c r="G343" i="11"/>
  <c r="H343" i="11" s="1"/>
  <c r="E338" i="10"/>
  <c r="F338" i="10" s="1"/>
  <c r="G338" i="10" s="1"/>
  <c r="C339" i="10" s="1"/>
  <c r="D348" i="10"/>
  <c r="E344" i="11" l="1"/>
  <c r="F344" i="11" s="1"/>
  <c r="B345" i="11"/>
  <c r="G344" i="11"/>
  <c r="H344" i="11" s="1"/>
  <c r="D345" i="11"/>
  <c r="C346" i="11"/>
  <c r="E339" i="10"/>
  <c r="F339" i="10" s="1"/>
  <c r="G339" i="10" s="1"/>
  <c r="C340" i="10" s="1"/>
  <c r="D349" i="10"/>
  <c r="C347" i="11" l="1"/>
  <c r="D346" i="11"/>
  <c r="G345" i="11"/>
  <c r="H345" i="11" s="1"/>
  <c r="B346" i="11"/>
  <c r="E345" i="11"/>
  <c r="F345" i="11" s="1"/>
  <c r="E340" i="10"/>
  <c r="F340" i="10" s="1"/>
  <c r="G340" i="10" s="1"/>
  <c r="C341" i="10" s="1"/>
  <c r="D350" i="10"/>
  <c r="G346" i="11" l="1"/>
  <c r="H346" i="11" s="1"/>
  <c r="B347" i="11"/>
  <c r="E346" i="11"/>
  <c r="F346" i="11" s="1"/>
  <c r="C348" i="11"/>
  <c r="D347" i="11"/>
  <c r="E341" i="10"/>
  <c r="F341" i="10" s="1"/>
  <c r="G341" i="10" s="1"/>
  <c r="C342" i="10" s="1"/>
  <c r="D351" i="10"/>
  <c r="D348" i="11" l="1"/>
  <c r="C349" i="11"/>
  <c r="B348" i="11"/>
  <c r="G347" i="11"/>
  <c r="H347" i="11" s="1"/>
  <c r="E347" i="11"/>
  <c r="F347" i="11" s="1"/>
  <c r="D352" i="10"/>
  <c r="E342" i="10"/>
  <c r="F342" i="10" s="1"/>
  <c r="G342" i="10" s="1"/>
  <c r="C343" i="10" s="1"/>
  <c r="B349" i="11" l="1"/>
  <c r="G348" i="11"/>
  <c r="H348" i="11" s="1"/>
  <c r="E348" i="11"/>
  <c r="F348" i="11" s="1"/>
  <c r="C350" i="11"/>
  <c r="D349" i="11"/>
  <c r="E343" i="10"/>
  <c r="F343" i="10" s="1"/>
  <c r="G343" i="10" s="1"/>
  <c r="C344" i="10" s="1"/>
  <c r="D353" i="10"/>
  <c r="C351" i="11" l="1"/>
  <c r="D350" i="11"/>
  <c r="B350" i="11"/>
  <c r="G349" i="11"/>
  <c r="H349" i="11" s="1"/>
  <c r="E349" i="11"/>
  <c r="F349" i="11" s="1"/>
  <c r="E344" i="10"/>
  <c r="F344" i="10" s="1"/>
  <c r="G344" i="10" s="1"/>
  <c r="C345" i="10" s="1"/>
  <c r="D354" i="10"/>
  <c r="B351" i="11" l="1"/>
  <c r="G350" i="11"/>
  <c r="H350" i="11" s="1"/>
  <c r="E350" i="11"/>
  <c r="F350" i="11" s="1"/>
  <c r="C352" i="11"/>
  <c r="D351" i="11"/>
  <c r="E345" i="10"/>
  <c r="F345" i="10" s="1"/>
  <c r="G345" i="10" s="1"/>
  <c r="C346" i="10" s="1"/>
  <c r="D355" i="10"/>
  <c r="C353" i="11" l="1"/>
  <c r="D352" i="11"/>
  <c r="E351" i="11"/>
  <c r="F351" i="11" s="1"/>
  <c r="B352" i="11"/>
  <c r="G351" i="11"/>
  <c r="H351" i="11" s="1"/>
  <c r="D356" i="10"/>
  <c r="E346" i="10"/>
  <c r="F346" i="10" s="1"/>
  <c r="G346" i="10" s="1"/>
  <c r="C347" i="10" s="1"/>
  <c r="B353" i="11" l="1"/>
  <c r="G352" i="11"/>
  <c r="H352" i="11" s="1"/>
  <c r="E352" i="11"/>
  <c r="F352" i="11" s="1"/>
  <c r="D353" i="11"/>
  <c r="C354" i="11"/>
  <c r="E347" i="10"/>
  <c r="F347" i="10" s="1"/>
  <c r="G347" i="10" s="1"/>
  <c r="C348" i="10" s="1"/>
  <c r="D357" i="10"/>
  <c r="C355" i="11" l="1"/>
  <c r="D354" i="11"/>
  <c r="E353" i="11"/>
  <c r="F353" i="11" s="1"/>
  <c r="G353" i="11"/>
  <c r="H353" i="11" s="1"/>
  <c r="B354" i="11"/>
  <c r="E348" i="10"/>
  <c r="F348" i="10" s="1"/>
  <c r="G348" i="10"/>
  <c r="C349" i="10" s="1"/>
  <c r="D358" i="10"/>
  <c r="E354" i="11" l="1"/>
  <c r="F354" i="11" s="1"/>
  <c r="B355" i="11"/>
  <c r="G354" i="11"/>
  <c r="H354" i="11" s="1"/>
  <c r="D355" i="11"/>
  <c r="C356" i="11"/>
  <c r="D359" i="10"/>
  <c r="E349" i="10"/>
  <c r="F349" i="10" s="1"/>
  <c r="G349" i="10" s="1"/>
  <c r="C350" i="10" s="1"/>
  <c r="D356" i="11" l="1"/>
  <c r="C357" i="11"/>
  <c r="G355" i="11"/>
  <c r="H355" i="11" s="1"/>
  <c r="B356" i="11"/>
  <c r="E355" i="11"/>
  <c r="F355" i="11" s="1"/>
  <c r="E350" i="10"/>
  <c r="F350" i="10" s="1"/>
  <c r="G350" i="10" s="1"/>
  <c r="C351" i="10" s="1"/>
  <c r="D360" i="10"/>
  <c r="G356" i="11" l="1"/>
  <c r="H356" i="11" s="1"/>
  <c r="E356" i="11"/>
  <c r="F356" i="11" s="1"/>
  <c r="B357" i="11"/>
  <c r="C358" i="11"/>
  <c r="D357" i="11"/>
  <c r="E351" i="10"/>
  <c r="F351" i="10" s="1"/>
  <c r="G351" i="10" s="1"/>
  <c r="C352" i="10" s="1"/>
  <c r="D361" i="10"/>
  <c r="C359" i="11" l="1"/>
  <c r="D358" i="11"/>
  <c r="E357" i="11"/>
  <c r="F357" i="11" s="1"/>
  <c r="B358" i="11"/>
  <c r="G357" i="11"/>
  <c r="H357" i="11" s="1"/>
  <c r="E352" i="10"/>
  <c r="F352" i="10" s="1"/>
  <c r="G352" i="10" s="1"/>
  <c r="C353" i="10" s="1"/>
  <c r="D362" i="10"/>
  <c r="B359" i="11" l="1"/>
  <c r="G358" i="11"/>
  <c r="H358" i="11" s="1"/>
  <c r="E358" i="11"/>
  <c r="F358" i="11" s="1"/>
  <c r="D359" i="11"/>
  <c r="C360" i="11"/>
  <c r="E353" i="10"/>
  <c r="F353" i="10" s="1"/>
  <c r="G353" i="10" s="1"/>
  <c r="C354" i="10" s="1"/>
  <c r="D363" i="10"/>
  <c r="C361" i="11" l="1"/>
  <c r="D360" i="11"/>
  <c r="G359" i="11"/>
  <c r="H359" i="11" s="1"/>
  <c r="E359" i="11"/>
  <c r="F359" i="11" s="1"/>
  <c r="B360" i="11"/>
  <c r="E354" i="10"/>
  <c r="F354" i="10" s="1"/>
  <c r="G354" i="10" s="1"/>
  <c r="C355" i="10" s="1"/>
  <c r="D364" i="10"/>
  <c r="G360" i="11" l="1"/>
  <c r="H360" i="11" s="1"/>
  <c r="E360" i="11"/>
  <c r="F360" i="11" s="1"/>
  <c r="B361" i="11"/>
  <c r="D361" i="11"/>
  <c r="C362" i="11"/>
  <c r="D365" i="10"/>
  <c r="E355" i="10"/>
  <c r="F355" i="10" s="1"/>
  <c r="G355" i="10" s="1"/>
  <c r="C356" i="10" s="1"/>
  <c r="C363" i="11" l="1"/>
  <c r="D363" i="11" s="1"/>
  <c r="D362" i="11"/>
  <c r="G361" i="11"/>
  <c r="H361" i="11" s="1"/>
  <c r="E361" i="11"/>
  <c r="F361" i="11" s="1"/>
  <c r="B362" i="11"/>
  <c r="E356" i="10"/>
  <c r="F356" i="10" s="1"/>
  <c r="G356" i="10"/>
  <c r="C357" i="10" s="1"/>
  <c r="D366" i="10"/>
  <c r="B363" i="11" l="1"/>
  <c r="G362" i="11"/>
  <c r="H362" i="11" s="1"/>
  <c r="E362" i="11"/>
  <c r="F362" i="11" s="1"/>
  <c r="D367" i="10"/>
  <c r="E357" i="10"/>
  <c r="F357" i="10" s="1"/>
  <c r="G357" i="10" s="1"/>
  <c r="C358" i="10" s="1"/>
  <c r="G363" i="11" l="1"/>
  <c r="H363" i="11" s="1"/>
  <c r="E363" i="11"/>
  <c r="F363" i="11" s="1"/>
  <c r="E358" i="10"/>
  <c r="F358" i="10" s="1"/>
  <c r="G358" i="10" s="1"/>
  <c r="C359" i="10" s="1"/>
  <c r="D368" i="10"/>
  <c r="E359" i="10" l="1"/>
  <c r="F359" i="10" s="1"/>
  <c r="G359" i="10" s="1"/>
  <c r="C360" i="10" s="1"/>
  <c r="D370" i="10"/>
  <c r="E360" i="10" l="1"/>
  <c r="F360" i="10" s="1"/>
  <c r="G360" i="10" s="1"/>
  <c r="C361" i="10" s="1"/>
  <c r="E361" i="10" l="1"/>
  <c r="F361" i="10" s="1"/>
  <c r="G361" i="10" s="1"/>
  <c r="C362" i="10" s="1"/>
  <c r="E362" i="10" l="1"/>
  <c r="F362" i="10" s="1"/>
  <c r="G362" i="10" s="1"/>
  <c r="C363" i="10" s="1"/>
  <c r="E363" i="10" l="1"/>
  <c r="F363" i="10" s="1"/>
  <c r="G363" i="10" s="1"/>
  <c r="C364" i="10" s="1"/>
  <c r="E364" i="10" l="1"/>
  <c r="F364" i="10" s="1"/>
  <c r="G364" i="10" s="1"/>
  <c r="C365" i="10" s="1"/>
  <c r="E365" i="10" l="1"/>
  <c r="F365" i="10" s="1"/>
  <c r="G365" i="10" s="1"/>
  <c r="C366" i="10" s="1"/>
  <c r="E366" i="10" l="1"/>
  <c r="F366" i="10" s="1"/>
  <c r="G366" i="10" s="1"/>
  <c r="C367" i="10" s="1"/>
  <c r="E367" i="10" l="1"/>
  <c r="F367" i="10" s="1"/>
  <c r="G367" i="10" s="1"/>
  <c r="C368" i="10" s="1"/>
  <c r="E368" i="10" l="1"/>
  <c r="E370" i="10" l="1"/>
  <c r="F368" i="10"/>
  <c r="F370" i="10" l="1"/>
  <c r="C7" i="10"/>
  <c r="G368"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Eshan Mukherjee</author>
  </authors>
  <commentList>
    <comment ref="J11" authorId="0" shapeId="0" xr:uid="{ECB54EB0-D3BE-43AB-B3F6-CDFEF72C05DA}">
      <text>
        <r>
          <rPr>
            <b/>
            <sz val="9"/>
            <color indexed="81"/>
            <rFont val="Tahoma"/>
            <family val="2"/>
          </rPr>
          <t>Set Difference (cell J45) to zero by changing rate (cell J10)</t>
        </r>
        <r>
          <rPr>
            <sz val="9"/>
            <color indexed="81"/>
            <rFont val="Tahoma"/>
            <family val="2"/>
          </rPr>
          <t xml:space="preserve">
</t>
        </r>
      </text>
    </comment>
    <comment ref="C48" authorId="0" shapeId="0" xr:uid="{9A31D217-C6CA-4AA1-BCEF-C4C46928BCE9}">
      <text>
        <r>
          <rPr>
            <b/>
            <sz val="9"/>
            <color indexed="81"/>
            <rFont val="Tahoma"/>
            <family val="2"/>
          </rPr>
          <t>Found using Excel Rate function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Eshan Mukherjee</author>
  </authors>
  <commentList>
    <comment ref="D6" authorId="0" shapeId="0" xr:uid="{B40D972E-7217-4317-9F22-4CBA01014E41}">
      <text>
        <r>
          <rPr>
            <b/>
            <sz val="9"/>
            <color indexed="81"/>
            <rFont val="Tahoma"/>
            <family val="2"/>
          </rPr>
          <t>Eshan Mukherjee:</t>
        </r>
        <r>
          <rPr>
            <sz val="9"/>
            <color indexed="81"/>
            <rFont val="Tahoma"/>
            <family val="2"/>
          </rPr>
          <t xml:space="preserve">
What are these values?</t>
        </r>
      </text>
    </comment>
  </commentList>
</comments>
</file>

<file path=xl/sharedStrings.xml><?xml version="1.0" encoding="utf-8"?>
<sst xmlns="http://schemas.openxmlformats.org/spreadsheetml/2006/main" count="470" uniqueCount="333">
  <si>
    <t xml:space="preserve">Face Amount : </t>
  </si>
  <si>
    <t xml:space="preserve">Yield (%) : </t>
  </si>
  <si>
    <t xml:space="preserve"> </t>
  </si>
  <si>
    <t xml:space="preserve">Coupon Rate (%) : </t>
  </si>
  <si>
    <t xml:space="preserve">Term (yrs) : </t>
  </si>
  <si>
    <t xml:space="preserve">PV Coupons : </t>
  </si>
  <si>
    <t xml:space="preserve">PV Face : </t>
  </si>
  <si>
    <t xml:space="preserve">Annual Interest : </t>
  </si>
  <si>
    <t xml:space="preserve">Periodic Interest : </t>
  </si>
  <si>
    <t xml:space="preserve">Periodic Rate : </t>
  </si>
  <si>
    <t xml:space="preserve">Number of Periods : </t>
  </si>
  <si>
    <t xml:space="preserve">PV Factor : </t>
  </si>
  <si>
    <t xml:space="preserve">Note : </t>
  </si>
  <si>
    <t>Inputs highlighted in Blue</t>
  </si>
  <si>
    <t xml:space="preserve">Compounding Pds/Year : </t>
  </si>
  <si>
    <t>Annual vs. Semi-Annual Compounding</t>
  </si>
  <si>
    <t xml:space="preserve">Maturity (yrs.) : </t>
  </si>
  <si>
    <t xml:space="preserve">Par Value : </t>
  </si>
  <si>
    <t xml:space="preserve">Coupon Rate : </t>
  </si>
  <si>
    <t xml:space="preserve">Price : </t>
  </si>
  <si>
    <t xml:space="preserve">Current Yield : </t>
  </si>
  <si>
    <t>Cash Flow Present Values at Assumed Annual Rate (%)</t>
  </si>
  <si>
    <t>Goal Seek</t>
  </si>
  <si>
    <t>Period</t>
  </si>
  <si>
    <t>Cash Flow</t>
  </si>
  <si>
    <t xml:space="preserve">Total Interest PV : </t>
  </si>
  <si>
    <t xml:space="preserve">Face Value PV : </t>
  </si>
  <si>
    <t xml:space="preserve">Total PV : </t>
  </si>
  <si>
    <t xml:space="preserve">Difference : </t>
  </si>
  <si>
    <t xml:space="preserve">Yield To Maturity : </t>
  </si>
  <si>
    <t>Annual Compounding</t>
  </si>
  <si>
    <t>Semi-Annual Compounding</t>
  </si>
  <si>
    <t xml:space="preserve">Maturity (yrs.) = </t>
  </si>
  <si>
    <t xml:space="preserve">Par Value = </t>
  </si>
  <si>
    <t xml:space="preserve">Coupon Rate = </t>
  </si>
  <si>
    <t xml:space="preserve">Compounding Pds/Year = </t>
  </si>
  <si>
    <t xml:space="preserve">YTM = </t>
  </si>
  <si>
    <t xml:space="preserve">Investment Horizon = </t>
  </si>
  <si>
    <t xml:space="preserve">Reinvestment Rate = </t>
  </si>
  <si>
    <t xml:space="preserve">Future YTM = </t>
  </si>
  <si>
    <t>Cash Flow FV</t>
  </si>
  <si>
    <t xml:space="preserve">Total Interest FV = </t>
  </si>
  <si>
    <t xml:space="preserve">Expected Bond FV = </t>
  </si>
  <si>
    <t xml:space="preserve">Total Dollar Return = </t>
  </si>
  <si>
    <t xml:space="preserve">Total Return (% per year) = </t>
  </si>
  <si>
    <t xml:space="preserve">Formula Total Interest FV = </t>
  </si>
  <si>
    <t xml:space="preserve">Total Interest = </t>
  </si>
  <si>
    <t xml:space="preserve">Interest on Interest = </t>
  </si>
  <si>
    <t xml:space="preserve">Capital Gain/(Loss) = </t>
  </si>
  <si>
    <t>Year</t>
  </si>
  <si>
    <t>Bond</t>
  </si>
  <si>
    <t>Price</t>
  </si>
  <si>
    <t>Par</t>
  </si>
  <si>
    <t>PV</t>
  </si>
  <si>
    <t>diff</t>
  </si>
  <si>
    <t>YTM</t>
  </si>
  <si>
    <t>A</t>
  </si>
  <si>
    <t>B</t>
  </si>
  <si>
    <t>C</t>
  </si>
  <si>
    <t xml:space="preserve">Spot Rate : </t>
  </si>
  <si>
    <r>
      <t>b</t>
    </r>
    <r>
      <rPr>
        <vertAlign val="subscript"/>
        <sz val="11"/>
        <color theme="1"/>
        <rFont val="Bookman Old Style"/>
        <family val="1"/>
      </rPr>
      <t>t</t>
    </r>
    <r>
      <rPr>
        <sz val="11"/>
        <color theme="1"/>
        <rFont val="Bookman Old Style"/>
        <family val="1"/>
      </rPr>
      <t xml:space="preserve"> : </t>
    </r>
  </si>
  <si>
    <t xml:space="preserve">Forward Rates : </t>
  </si>
  <si>
    <r>
      <t>f</t>
    </r>
    <r>
      <rPr>
        <vertAlign val="subscript"/>
        <sz val="11"/>
        <rFont val="Bookman Old Style"/>
        <family val="1"/>
      </rPr>
      <t>12</t>
    </r>
    <r>
      <rPr>
        <sz val="11"/>
        <rFont val="Bookman Old Style"/>
        <family val="1"/>
      </rPr>
      <t xml:space="preserve"> = </t>
    </r>
  </si>
  <si>
    <r>
      <t>f</t>
    </r>
    <r>
      <rPr>
        <vertAlign val="subscript"/>
        <sz val="11"/>
        <rFont val="Bookman Old Style"/>
        <family val="1"/>
      </rPr>
      <t>23</t>
    </r>
    <r>
      <rPr>
        <sz val="11"/>
        <rFont val="Bookman Old Style"/>
        <family val="1"/>
      </rPr>
      <t xml:space="preserve"> = </t>
    </r>
  </si>
  <si>
    <r>
      <t>f</t>
    </r>
    <r>
      <rPr>
        <vertAlign val="subscript"/>
        <sz val="11"/>
        <rFont val="Bookman Old Style"/>
        <family val="1"/>
      </rPr>
      <t>13</t>
    </r>
    <r>
      <rPr>
        <sz val="11"/>
        <rFont val="Bookman Old Style"/>
        <family val="1"/>
      </rPr>
      <t xml:space="preserve"> = </t>
    </r>
  </si>
  <si>
    <t>D</t>
  </si>
  <si>
    <t xml:space="preserve">Future Values : </t>
  </si>
  <si>
    <t xml:space="preserve">t : </t>
  </si>
  <si>
    <r>
      <t>b</t>
    </r>
    <r>
      <rPr>
        <vertAlign val="subscript"/>
        <sz val="12"/>
        <color theme="1"/>
        <rFont val="Bookman Old Style"/>
        <family val="2"/>
      </rPr>
      <t>t</t>
    </r>
    <r>
      <rPr>
        <sz val="12"/>
        <color theme="1"/>
        <rFont val="Bookman Old Style"/>
        <family val="2"/>
      </rPr>
      <t xml:space="preserve"> : </t>
    </r>
  </si>
  <si>
    <t xml:space="preserve">Bond D : </t>
  </si>
  <si>
    <t>TODAY</t>
  </si>
  <si>
    <t>Quantity</t>
  </si>
  <si>
    <t>Cashflow</t>
  </si>
  <si>
    <t>t=1</t>
  </si>
  <si>
    <t>t=2</t>
  </si>
  <si>
    <t>t=3</t>
  </si>
  <si>
    <r>
      <t>Buy/(Short) b</t>
    </r>
    <r>
      <rPr>
        <vertAlign val="subscript"/>
        <sz val="12"/>
        <rFont val="Bookman Old Style"/>
        <family val="2"/>
      </rPr>
      <t>1</t>
    </r>
    <r>
      <rPr>
        <sz val="12"/>
        <rFont val="Bookman Old Style"/>
        <family val="2"/>
      </rPr>
      <t xml:space="preserve"> : </t>
    </r>
  </si>
  <si>
    <r>
      <t>Buy/(Short) b</t>
    </r>
    <r>
      <rPr>
        <vertAlign val="subscript"/>
        <sz val="12"/>
        <rFont val="Bookman Old Style"/>
        <family val="2"/>
      </rPr>
      <t>2</t>
    </r>
    <r>
      <rPr>
        <sz val="12"/>
        <rFont val="Bookman Old Style"/>
        <family val="2"/>
      </rPr>
      <t xml:space="preserve"> : </t>
    </r>
  </si>
  <si>
    <r>
      <t>Buy/(Short) b</t>
    </r>
    <r>
      <rPr>
        <vertAlign val="subscript"/>
        <sz val="12"/>
        <rFont val="Bookman Old Style"/>
        <family val="2"/>
      </rPr>
      <t>3</t>
    </r>
    <r>
      <rPr>
        <sz val="12"/>
        <rFont val="Bookman Old Style"/>
        <family val="2"/>
      </rPr>
      <t xml:space="preserve"> : </t>
    </r>
  </si>
  <si>
    <t xml:space="preserve">Subtotal : </t>
  </si>
  <si>
    <t xml:space="preserve">Net : </t>
  </si>
  <si>
    <t xml:space="preserve">Face Value = </t>
  </si>
  <si>
    <t xml:space="preserve">Initial Rate = </t>
  </si>
  <si>
    <t xml:space="preserve">New Rate = </t>
  </si>
  <si>
    <t>Zero-Coupon Bond Prices</t>
  </si>
  <si>
    <t>t</t>
  </si>
  <si>
    <t>Initial Price</t>
  </si>
  <si>
    <t>New Price</t>
  </si>
  <si>
    <t>Actual Pct Chg.</t>
  </si>
  <si>
    <t>Duration</t>
  </si>
  <si>
    <t>Modified Duration</t>
  </si>
  <si>
    <t>Estimated Pct Chg.</t>
  </si>
  <si>
    <t>Pct. Difference</t>
  </si>
  <si>
    <t>Part 1: Term Structure of Interest Rates and Forward Rates</t>
  </si>
  <si>
    <t>1a: Zero-coupon bond prices (b t)</t>
  </si>
  <si>
    <t>Spot rate r t</t>
  </si>
  <si>
    <t>Discount factor b t</t>
  </si>
  <si>
    <t>1b: Forward rates f jk</t>
  </si>
  <si>
    <t>j</t>
  </si>
  <si>
    <t>k</t>
  </si>
  <si>
    <t>Forward rate f jk</t>
  </si>
  <si>
    <t>1c: Investment alternatives and future value</t>
  </si>
  <si>
    <t>Alternative (i) FV</t>
  </si>
  <si>
    <t>Alternative (ii) FV</t>
  </si>
  <si>
    <t>Preferred alternative</t>
  </si>
  <si>
    <t>2a: Theoretical bond prices</t>
  </si>
  <si>
    <t>Bond A price</t>
  </si>
  <si>
    <t>Bond B price</t>
  </si>
  <si>
    <t>2b: Arbitrage strategy for Bond A</t>
  </si>
  <si>
    <t>Zero Coupon t</t>
  </si>
  <si>
    <t>Price per unit (b_t)</t>
  </si>
  <si>
    <t>Cost</t>
  </si>
  <si>
    <t>Total cost</t>
  </si>
  <si>
    <t>Market price of Bond A</t>
  </si>
  <si>
    <t>Riskless profit per $100 face</t>
  </si>
  <si>
    <t>Strategy explanation</t>
  </si>
  <si>
    <t>Short sell Bond A at its market price of $95 per $100 face and purchase 1-year, 2-year, and 3-year zero-coupon bonds in quantities of 3, 3, and 103 units respectively. The cost of these bonds (the replicating portfolio) equals the theoretical price of Bond A. The difference between the sale proceeds and the cost of the replicating portfolio is the arbitrage profit.</t>
  </si>
  <si>
    <t>\</t>
  </si>
  <si>
    <t>Year (t)</t>
  </si>
  <si>
    <t>b(t) = 1/(1+r)^t</t>
  </si>
  <si>
    <t>PV of 40K Payment</t>
  </si>
  <si>
    <t>Cumulative PV</t>
  </si>
  <si>
    <t>r</t>
  </si>
  <si>
    <t>1/r</t>
  </si>
  <si>
    <t>1/(1+r)*T</t>
  </si>
  <si>
    <t>Total PV</t>
  </si>
  <si>
    <t>PV by Formula</t>
  </si>
  <si>
    <t>Coupon Rate</t>
  </si>
  <si>
    <t>Term (years)</t>
  </si>
  <si>
    <t>Periods (n)</t>
  </si>
  <si>
    <t>Periodic Rate</t>
  </si>
  <si>
    <t>Coupon Payment</t>
  </si>
  <si>
    <t>PV of Coupons</t>
  </si>
  <si>
    <t>PV of Face</t>
  </si>
  <si>
    <t>BOND PRICING</t>
  </si>
  <si>
    <t>YTM (Bond Equivalent)</t>
  </si>
  <si>
    <t>E</t>
  </si>
  <si>
    <t>F</t>
  </si>
  <si>
    <t>G</t>
  </si>
  <si>
    <t>H</t>
  </si>
  <si>
    <t>BOND YTM</t>
  </si>
  <si>
    <t>PV OF FACTORS</t>
  </si>
  <si>
    <t>INSTRUCTIONS</t>
  </si>
  <si>
    <t>b_t</t>
  </si>
  <si>
    <t>Cash Flow (Bond A)</t>
  </si>
  <si>
    <t>PV Flow (A)</t>
  </si>
  <si>
    <t>Cash Flow (Bond B)</t>
  </si>
  <si>
    <t>PV Flow (B)</t>
  </si>
  <si>
    <t>t*PV Flow (A)</t>
  </si>
  <si>
    <t>t*PV Flow (B)</t>
  </si>
  <si>
    <t>Sum</t>
  </si>
  <si>
    <t>Term Structure</t>
  </si>
  <si>
    <t>r1</t>
  </si>
  <si>
    <t>r2</t>
  </si>
  <si>
    <t>r3</t>
  </si>
  <si>
    <t>I</t>
  </si>
  <si>
    <t>II</t>
  </si>
  <si>
    <t>III</t>
  </si>
  <si>
    <t>IV</t>
  </si>
  <si>
    <t>b1</t>
  </si>
  <si>
    <t>b2</t>
  </si>
  <si>
    <t>b3</t>
  </si>
  <si>
    <t>Price of Bond B</t>
  </si>
  <si>
    <t>Duration Calculations (Term I)</t>
  </si>
  <si>
    <t>Instrument</t>
  </si>
  <si>
    <t>Weighted Sum (t*PV)</t>
  </si>
  <si>
    <t>Bond B</t>
  </si>
  <si>
    <t>Duration Hedging (Term I)</t>
  </si>
  <si>
    <t>Hedging Instrument</t>
  </si>
  <si>
    <t>N*</t>
  </si>
  <si>
    <t>Formula</t>
  </si>
  <si>
    <t>b t</t>
  </si>
  <si>
    <t>FV*CR</t>
  </si>
  <si>
    <t>YIELD/N</t>
  </si>
  <si>
    <t>N</t>
  </si>
  <si>
    <t>N ANNUAL/INT</t>
  </si>
  <si>
    <t>INT/PRICE</t>
  </si>
  <si>
    <t>ANNUAL N/INT</t>
  </si>
  <si>
    <t xml:space="preserve">Initial Balance : </t>
  </si>
  <si>
    <t xml:space="preserve">Note Rate : </t>
  </si>
  <si>
    <t xml:space="preserve">Term (months) : </t>
  </si>
  <si>
    <t xml:space="preserve">Monthly Payment : </t>
  </si>
  <si>
    <t xml:space="preserve">Expected Average Life (years) : </t>
  </si>
  <si>
    <t>Month</t>
  </si>
  <si>
    <t>Beginning Balance</t>
  </si>
  <si>
    <t>Payment</t>
  </si>
  <si>
    <t>Interest</t>
  </si>
  <si>
    <t>Scheduled Principal</t>
  </si>
  <si>
    <t>Ending Balance</t>
  </si>
  <si>
    <t xml:space="preserve">Totals : </t>
  </si>
  <si>
    <t>CPR</t>
  </si>
  <si>
    <t>SMM</t>
  </si>
  <si>
    <t>PSA</t>
  </si>
  <si>
    <t>Notation:</t>
  </si>
  <si>
    <t xml:space="preserve">P = </t>
  </si>
  <si>
    <t>Principal</t>
  </si>
  <si>
    <t xml:space="preserve">T = </t>
  </si>
  <si>
    <t>Total (Source) Tranche</t>
  </si>
  <si>
    <t xml:space="preserve">F = </t>
  </si>
  <si>
    <t>Floating Tranche</t>
  </si>
  <si>
    <t xml:space="preserve">I = </t>
  </si>
  <si>
    <t>Inverse Floating Tranche</t>
  </si>
  <si>
    <t>($ amounts in millions)</t>
  </si>
  <si>
    <t xml:space="preserve">Given : </t>
  </si>
  <si>
    <t xml:space="preserve">P(T) = </t>
  </si>
  <si>
    <t xml:space="preserve">P(F) = </t>
  </si>
  <si>
    <t xml:space="preserve">r(T) = </t>
  </si>
  <si>
    <t xml:space="preserve">r(F) spread = </t>
  </si>
  <si>
    <t xml:space="preserve">r(I) floor = </t>
  </si>
  <si>
    <t xml:space="preserve">Reference Rate : </t>
  </si>
  <si>
    <t>SOFR</t>
  </si>
  <si>
    <t xml:space="preserve">P(I) = </t>
  </si>
  <si>
    <t xml:space="preserve">L = </t>
  </si>
  <si>
    <t xml:space="preserve">K = </t>
  </si>
  <si>
    <t xml:space="preserve">SOFR at floor = </t>
  </si>
  <si>
    <t xml:space="preserve">Floater cap = </t>
  </si>
  <si>
    <t>Floater Rate</t>
  </si>
  <si>
    <t>Inverse Floater Rate</t>
  </si>
  <si>
    <t>Floater Interest</t>
  </si>
  <si>
    <t>Inverse Floater Interest</t>
  </si>
  <si>
    <t>Total Interest</t>
  </si>
  <si>
    <t>CR*PRICE</t>
  </si>
  <si>
    <t>CR*FV</t>
  </si>
  <si>
    <t xml:space="preserve">Bond Price : </t>
  </si>
  <si>
    <t xml:space="preserve">Annual Coupon Payment (Annual Interest) : </t>
  </si>
  <si>
    <t xml:space="preserve">Total Bond Price : </t>
  </si>
  <si>
    <t xml:space="preserve">PV Single-Payment Factor: </t>
  </si>
  <si>
    <t xml:space="preserve">Total PV of Bond Price : </t>
  </si>
  <si>
    <t>PMT</t>
  </si>
  <si>
    <t>I/Y</t>
  </si>
  <si>
    <t>FV</t>
  </si>
  <si>
    <t>IRR</t>
  </si>
  <si>
    <t>IRR=YTM</t>
  </si>
  <si>
    <t>MATURITY</t>
  </si>
  <si>
    <t>CR</t>
  </si>
  <si>
    <t>PV OF BOND PRICE</t>
  </si>
  <si>
    <t>ANNUAL INT</t>
  </si>
  <si>
    <t>CURRENT YIELD</t>
  </si>
  <si>
    <t>To Calc YTM</t>
  </si>
  <si>
    <t>To calculate:</t>
  </si>
  <si>
    <t>Bond Price</t>
  </si>
  <si>
    <t>FINANCIAL CALCULATOR</t>
  </si>
  <si>
    <t>CFt ​× (1+r)^T-t</t>
  </si>
  <si>
    <t>T</t>
  </si>
  <si>
    <t>Investment Horizon</t>
  </si>
  <si>
    <t>Period where CF arrives</t>
  </si>
  <si>
    <t>CF FV</t>
  </si>
  <si>
    <t>SUM</t>
  </si>
  <si>
    <t>PV of CF FV</t>
  </si>
  <si>
    <t>INT FV+EXP of Bond FV</t>
  </si>
  <si>
    <t>PV of B-B FV</t>
  </si>
  <si>
    <t>C+FV</t>
  </si>
  <si>
    <t>Discount Factors of the Spot rates</t>
  </si>
  <si>
    <t>Forward rate from 1 to 2</t>
  </si>
  <si>
    <t>Forward rate from 2 to 3</t>
  </si>
  <si>
    <t>Forward rate from 1 to 3</t>
  </si>
  <si>
    <t xml:space="preserve">Bond Price = </t>
  </si>
  <si>
    <t xml:space="preserve">PV of Bond = </t>
  </si>
  <si>
    <t>Quantity (CF for each C)</t>
  </si>
  <si>
    <t xml:space="preserve">Postions at each C level </t>
  </si>
  <si>
    <t>PV OF BOND WHEN SHORTED</t>
  </si>
  <si>
    <r>
      <t xml:space="preserve">Buy/(Short) Bond D </t>
    </r>
    <r>
      <rPr>
        <sz val="12"/>
        <color rgb="FFFF0000"/>
        <rFont val="Bookman Old Style"/>
        <family val="1"/>
      </rPr>
      <t>(POS HE WANTS TO TAKE</t>
    </r>
    <r>
      <rPr>
        <sz val="12"/>
        <color theme="1"/>
        <rFont val="Bookman Old Style"/>
        <family val="2"/>
      </rPr>
      <t xml:space="preserve">): </t>
    </r>
  </si>
  <si>
    <t>Question 1: Spot Rates, Forward Rates, Bond Pricing, Duration</t>
  </si>
  <si>
    <t>Spot Rate</t>
  </si>
  <si>
    <t>bt (Price)</t>
  </si>
  <si>
    <t>Forward Rate</t>
  </si>
  <si>
    <t>Value</t>
  </si>
  <si>
    <t>Notes</t>
  </si>
  <si>
    <t>f12</t>
  </si>
  <si>
    <t>Zero Coupon B do not pay coupon</t>
  </si>
  <si>
    <t>f23</t>
  </si>
  <si>
    <t>f13</t>
  </si>
  <si>
    <t>Question 2 and 5: Approximate Bond Price Change</t>
  </si>
  <si>
    <t>bt</t>
  </si>
  <si>
    <t>PV(Ct)</t>
  </si>
  <si>
    <t>t * PV(Ct)</t>
  </si>
  <si>
    <t>Bond Price (No-arbitrage price)</t>
  </si>
  <si>
    <t>Sum(t*PV(Ct))</t>
  </si>
  <si>
    <t>Macollay Duration</t>
  </si>
  <si>
    <t>QUESTION 6</t>
  </si>
  <si>
    <t>Bond Price (P)</t>
  </si>
  <si>
    <t>Duration (D)</t>
  </si>
  <si>
    <t>Spot rate (r)</t>
  </si>
  <si>
    <t>Change in rate (dr)</t>
  </si>
  <si>
    <t>Approx % Change in Price</t>
  </si>
  <si>
    <t>IS THIS CORRECT?</t>
  </si>
  <si>
    <t>Approx Price Change ($)</t>
  </si>
  <si>
    <t>Approx New Price</t>
  </si>
  <si>
    <t>Question 3: Duration Hedging</t>
  </si>
  <si>
    <t>Part 1: Hedge 1-year long</t>
  </si>
  <si>
    <t>Price of 1-year zero (P1)</t>
  </si>
  <si>
    <t>Duration of 1-year zero (D1)</t>
  </si>
  <si>
    <t>Price of 3-year zero (P3)</t>
  </si>
  <si>
    <t>Duration of 3-year zero (D3)</t>
  </si>
  <si>
    <t>Quantity of 1-year zero held (N1)</t>
  </si>
  <si>
    <t>Quantity of 3-year zero required (N3)</t>
  </si>
  <si>
    <t>Part 2: Hedge 3-year long</t>
  </si>
  <si>
    <t>Quantity of 3-year zero held (N3)</t>
  </si>
  <si>
    <t>Quantity of 1-year zero required (N1)</t>
  </si>
  <si>
    <t>Question 4: PSA Prepayment and SMM</t>
  </si>
  <si>
    <t>Month (t)</t>
  </si>
  <si>
    <t>PSA Level</t>
  </si>
  <si>
    <t>SMM=Single monthly mort r which shows annualized % of mortage pool expected to be prepaid</t>
  </si>
  <si>
    <t>PSA= Public sec Association= How quickly the borrower will repay</t>
  </si>
  <si>
    <t>Prepayment Calculation (Month 12)</t>
  </si>
  <si>
    <t>Prepayment</t>
  </si>
  <si>
    <t>Question 5: Interest Rate Swap (Dealer Perspective)</t>
  </si>
  <si>
    <t>Notional</t>
  </si>
  <si>
    <t>Fixed Rate Paid (Dealer)</t>
  </si>
  <si>
    <t>SOFR (variable)</t>
  </si>
  <si>
    <t>Spread Received</t>
  </si>
  <si>
    <t>Rate Received (Dealer)</t>
  </si>
  <si>
    <t>Net Rate</t>
  </si>
  <si>
    <t>Net Interest Income ($)</t>
  </si>
  <si>
    <t>Question 6: CMO Tranche Coupon Analysis</t>
  </si>
  <si>
    <t>Primary Par (P_pri)</t>
  </si>
  <si>
    <t>Primary Coupon (c_pri)</t>
  </si>
  <si>
    <t>Floating Par (P_f)</t>
  </si>
  <si>
    <t>Floating Spread (s_f)</t>
  </si>
  <si>
    <t>Inverse Par (P_inv)</t>
  </si>
  <si>
    <t>Coupon Leverage (L)</t>
  </si>
  <si>
    <t>Cap on Inverse (K)</t>
  </si>
  <si>
    <t>Floor on Inverse Coupon</t>
  </si>
  <si>
    <t>SOFR at Floor</t>
  </si>
  <si>
    <t>Cap on Floating Coupon</t>
  </si>
  <si>
    <t>Contraction Risk</t>
  </si>
  <si>
    <t>Mortg Back Sec</t>
  </si>
  <si>
    <t>CMOs</t>
  </si>
  <si>
    <t>Mortgage Pass throughs</t>
  </si>
  <si>
    <t>Extension Risk</t>
  </si>
  <si>
    <t>Extension risk is the risk in mortgage-backed securities (MBS) where borrowers repay principal more slowly than expected, extending duration of repayment and locking investors into lower yields longer than anticipated.</t>
  </si>
  <si>
    <t>int r swap agreement</t>
  </si>
  <si>
    <t xml:space="preserve">0 cost at t0,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</si>
</sst>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8" formatCode="&quot;$&quot;#,##0.00_);[Red]\(&quot;$&quot;#,##0.00\)"/>
    <numFmt numFmtId="44" formatCode="_(&quot;$&quot;* #,##0.00_);_(&quot;$&quot;* \(#,##0.00\);_(&quot;$&quot;* &quot;-&quot;??_);_(@_)"/>
    <numFmt numFmtId="43" formatCode="_(* #,##0.00_);_(* \(#,##0.00\);_(* &quot;-&quot;??_);_(@_)"/>
    <numFmt numFmtId="164" formatCode="0.000%"/>
    <numFmt numFmtId="165" formatCode="_(&quot;$&quot;* #,##0.000_);_(&quot;$&quot;* \(#,##0.000\);_(&quot;$&quot;* &quot;-&quot;??_);_(@_)"/>
    <numFmt numFmtId="166" formatCode="&quot;$&quot;#,##0.000_);[Red]\(&quot;$&quot;#,##0.000\)"/>
    <numFmt numFmtId="167" formatCode="0.00000"/>
    <numFmt numFmtId="168" formatCode="_(&quot;$&quot;* #,##0.0000_);_(&quot;$&quot;* \(#,##0.0000\);_(&quot;$&quot;* &quot;-&quot;??_);_(@_)"/>
    <numFmt numFmtId="169" formatCode="0.0%"/>
    <numFmt numFmtId="170" formatCode="#,##0.0000_);\(#,##0.0000\)"/>
    <numFmt numFmtId="171" formatCode="0.000000"/>
    <numFmt numFmtId="172" formatCode="0.0000"/>
    <numFmt numFmtId="173" formatCode="0.00_);\(0.00\)"/>
    <numFmt numFmtId="174" formatCode="_(* #,##0.000_);_(* \(#,##0.000\);_(* &quot;-&quot;??_);_(@_)"/>
    <numFmt numFmtId="175" formatCode="0.000"/>
    <numFmt numFmtId="176" formatCode="0.0"/>
    <numFmt numFmtId="177" formatCode="\$#,##0.00"/>
    <numFmt numFmtId="178" formatCode="\$#,##0.000"/>
    <numFmt numFmtId="179" formatCode="_(&quot;$&quot;* #,##0_);_(&quot;$&quot;* \(#,##0\);_(&quot;$&quot;* &quot;-&quot;??_);_(@_)"/>
    <numFmt numFmtId="180" formatCode="_(* #,##0_);_(* \(#,##0\);_(* &quot;-&quot;??_);_(@_)"/>
    <numFmt numFmtId="181" formatCode="0.00000%"/>
    <numFmt numFmtId="182" formatCode="&quot;$&quot;#,##0"/>
    <numFmt numFmtId="183" formatCode="&quot;$&quot;#,##0.00"/>
    <numFmt numFmtId="184" formatCode="#,##0.000"/>
  </numFmts>
  <fonts count="35" x14ac:knownFonts="1">
    <font>
      <sz val="11"/>
      <color theme="1"/>
      <name val="Calibri"/>
      <family val="2"/>
      <scheme val="minor"/>
    </font>
    <font>
      <sz val="11"/>
      <color theme="1"/>
      <name val="Calibri"/>
      <family val="2"/>
      <scheme val="minor"/>
    </font>
    <font>
      <sz val="12"/>
      <color theme="1"/>
      <name val="Bookman Old Style"/>
      <family val="1"/>
    </font>
    <font>
      <b/>
      <sz val="12"/>
      <color theme="1"/>
      <name val="Bookman Old Style"/>
      <family val="1"/>
    </font>
    <font>
      <u/>
      <sz val="12"/>
      <color theme="1"/>
      <name val="Bookman Old Style"/>
      <family val="1"/>
    </font>
    <font>
      <u val="singleAccounting"/>
      <sz val="12"/>
      <color theme="1"/>
      <name val="Bookman Old Style"/>
      <family val="1"/>
    </font>
    <font>
      <i/>
      <sz val="12"/>
      <color theme="1"/>
      <name val="Bookman Old Style"/>
      <family val="1"/>
    </font>
    <font>
      <sz val="11"/>
      <color theme="1"/>
      <name val="Bookman Old Style"/>
      <family val="1"/>
    </font>
    <font>
      <b/>
      <sz val="11"/>
      <name val="Bookman Old Style"/>
      <family val="1"/>
    </font>
    <font>
      <b/>
      <sz val="11"/>
      <color theme="9" tint="-0.249977111117893"/>
      <name val="Bookman Old Style"/>
      <family val="1"/>
    </font>
    <font>
      <u/>
      <sz val="11"/>
      <name val="Bookman Old Style"/>
      <family val="1"/>
    </font>
    <font>
      <b/>
      <sz val="9"/>
      <color indexed="81"/>
      <name val="Tahoma"/>
      <family val="2"/>
    </font>
    <font>
      <sz val="9"/>
      <color indexed="81"/>
      <name val="Tahoma"/>
      <family val="2"/>
    </font>
    <font>
      <b/>
      <sz val="12"/>
      <name val="Bookman Old Style"/>
      <family val="1"/>
    </font>
    <font>
      <u val="singleAccounting"/>
      <sz val="12"/>
      <name val="Bookman Old Style"/>
      <family val="1"/>
    </font>
    <font>
      <b/>
      <u val="singleAccounting"/>
      <sz val="12"/>
      <name val="Bookman Old Style"/>
      <family val="1"/>
    </font>
    <font>
      <i/>
      <sz val="11"/>
      <color theme="1"/>
      <name val="Bookman Old Style"/>
      <family val="1"/>
    </font>
    <font>
      <b/>
      <i/>
      <sz val="11"/>
      <name val="Bookman Old Style"/>
      <family val="1"/>
    </font>
    <font>
      <i/>
      <sz val="11"/>
      <name val="Bookman Old Style"/>
      <family val="1"/>
    </font>
    <font>
      <vertAlign val="subscript"/>
      <sz val="11"/>
      <color theme="1"/>
      <name val="Bookman Old Style"/>
      <family val="1"/>
    </font>
    <font>
      <sz val="11"/>
      <name val="Bookman Old Style"/>
      <family val="1"/>
    </font>
    <font>
      <vertAlign val="subscript"/>
      <sz val="11"/>
      <name val="Bookman Old Style"/>
      <family val="1"/>
    </font>
    <font>
      <sz val="12"/>
      <color theme="1"/>
      <name val="Bookman Old Style"/>
      <family val="2"/>
    </font>
    <font>
      <b/>
      <sz val="12"/>
      <color theme="1"/>
      <name val="Bookman Old Style"/>
      <family val="2"/>
    </font>
    <font>
      <vertAlign val="subscript"/>
      <sz val="12"/>
      <color theme="1"/>
      <name val="Bookman Old Style"/>
      <family val="2"/>
    </font>
    <font>
      <b/>
      <sz val="12"/>
      <name val="Bookman Old Style"/>
      <family val="2"/>
    </font>
    <font>
      <sz val="12"/>
      <name val="Bookman Old Style"/>
      <family val="2"/>
    </font>
    <font>
      <vertAlign val="subscript"/>
      <sz val="12"/>
      <name val="Bookman Old Style"/>
      <family val="2"/>
    </font>
    <font>
      <b/>
      <sz val="14"/>
      <name val="Calibri"/>
      <family val="2"/>
    </font>
    <font>
      <b/>
      <sz val="11"/>
      <name val="Calibri"/>
      <family val="2"/>
    </font>
    <font>
      <b/>
      <sz val="16"/>
      <color theme="1"/>
      <name val="Calibri"/>
      <family val="2"/>
      <scheme val="minor"/>
    </font>
    <font>
      <b/>
      <sz val="11"/>
      <color theme="1"/>
      <name val="Calibri"/>
      <family val="2"/>
      <scheme val="minor"/>
    </font>
    <font>
      <i/>
      <sz val="11"/>
      <color theme="0" tint="-0.499984740745262"/>
      <name val="Bookman Old Style"/>
      <family val="1"/>
    </font>
    <font>
      <sz val="11"/>
      <color rgb="FFFF0000"/>
      <name val="Bookman Old Style"/>
      <family val="2"/>
    </font>
    <font>
      <sz val="12"/>
      <color rgb="FFFF0000"/>
      <name val="Bookman Old Style"/>
      <family val="1"/>
    </font>
  </fonts>
  <fills count="8">
    <fill>
      <patternFill patternType="none"/>
    </fill>
    <fill>
      <patternFill patternType="gray125"/>
    </fill>
    <fill>
      <patternFill patternType="solid">
        <fgColor theme="3" tint="0.79998168889431442"/>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rgb="FFFFFF00"/>
        <bgColor indexed="64"/>
      </patternFill>
    </fill>
    <fill>
      <patternFill patternType="solid">
        <fgColor rgb="FFFFC000"/>
        <bgColor indexed="64"/>
      </patternFill>
    </fill>
  </fills>
  <borders count="2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top/>
      <bottom style="medium">
        <color indexed="64"/>
      </bottom>
      <diagonal/>
    </border>
    <border>
      <left/>
      <right style="thin">
        <color indexed="64"/>
      </right>
      <top/>
      <bottom style="medium">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29" fillId="0" borderId="0">
      <alignment horizontal="center"/>
    </xf>
  </cellStyleXfs>
  <cellXfs count="229">
    <xf numFmtId="0" fontId="0" fillId="0" borderId="0" xfId="0"/>
    <xf numFmtId="0" fontId="2" fillId="0" borderId="0" xfId="0" applyFont="1"/>
    <xf numFmtId="0" fontId="2" fillId="0" borderId="0" xfId="0" applyFont="1" applyAlignment="1">
      <alignment horizontal="right"/>
    </xf>
    <xf numFmtId="0" fontId="7" fillId="0" borderId="0" xfId="0" applyFont="1"/>
    <xf numFmtId="0" fontId="7" fillId="0" borderId="0" xfId="0" applyFont="1" applyAlignment="1">
      <alignment horizontal="right"/>
    </xf>
    <xf numFmtId="0" fontId="7" fillId="2" borderId="0" xfId="0" applyFont="1" applyFill="1"/>
    <xf numFmtId="44" fontId="7" fillId="2" borderId="0" xfId="2" applyFont="1" applyFill="1"/>
    <xf numFmtId="10" fontId="7" fillId="2" borderId="0" xfId="3" applyNumberFormat="1" applyFont="1" applyFill="1"/>
    <xf numFmtId="44" fontId="7" fillId="0" borderId="0" xfId="2" applyFont="1"/>
    <xf numFmtId="10" fontId="7" fillId="0" borderId="0" xfId="3" applyNumberFormat="1" applyFont="1"/>
    <xf numFmtId="168" fontId="7" fillId="0" borderId="0" xfId="2" applyNumberFormat="1" applyFont="1"/>
    <xf numFmtId="0" fontId="8" fillId="0" borderId="9" xfId="0" applyFont="1" applyBorder="1" applyAlignment="1">
      <alignment horizontal="center" wrapText="1"/>
    </xf>
    <xf numFmtId="0" fontId="8" fillId="0" borderId="10" xfId="0" applyFont="1" applyBorder="1" applyAlignment="1">
      <alignment horizontal="center"/>
    </xf>
    <xf numFmtId="0" fontId="8" fillId="0" borderId="10" xfId="0" applyFont="1" applyBorder="1" applyAlignment="1">
      <alignment horizontal="center" wrapText="1"/>
    </xf>
    <xf numFmtId="10" fontId="8" fillId="0" borderId="11" xfId="3" applyNumberFormat="1" applyFont="1" applyBorder="1" applyAlignment="1">
      <alignment horizontal="center"/>
    </xf>
    <xf numFmtId="10" fontId="8" fillId="0" borderId="10" xfId="0" applyNumberFormat="1" applyFont="1" applyBorder="1" applyAlignment="1">
      <alignment horizontal="center"/>
    </xf>
    <xf numFmtId="10" fontId="8" fillId="0" borderId="12" xfId="0" applyNumberFormat="1" applyFont="1" applyBorder="1" applyAlignment="1">
      <alignment horizontal="center"/>
    </xf>
    <xf numFmtId="10" fontId="9" fillId="0" borderId="12" xfId="0" applyNumberFormat="1" applyFont="1" applyBorder="1" applyAlignment="1">
      <alignment horizontal="center"/>
    </xf>
    <xf numFmtId="0" fontId="7" fillId="0" borderId="0" xfId="0" applyFont="1" applyAlignment="1">
      <alignment horizontal="center"/>
    </xf>
    <xf numFmtId="43" fontId="7" fillId="0" borderId="0" xfId="0" applyNumberFormat="1" applyFont="1"/>
    <xf numFmtId="43" fontId="7" fillId="0" borderId="13" xfId="1" applyFont="1" applyBorder="1"/>
    <xf numFmtId="43" fontId="7" fillId="0" borderId="0" xfId="1" applyFont="1" applyBorder="1"/>
    <xf numFmtId="43" fontId="7" fillId="0" borderId="14" xfId="1" applyFont="1" applyBorder="1"/>
    <xf numFmtId="43" fontId="10" fillId="0" borderId="13" xfId="1" applyFont="1" applyBorder="1"/>
    <xf numFmtId="43" fontId="10" fillId="0" borderId="0" xfId="1" applyFont="1" applyBorder="1"/>
    <xf numFmtId="43" fontId="10" fillId="0" borderId="14" xfId="1" applyFont="1" applyBorder="1"/>
    <xf numFmtId="43" fontId="7" fillId="0" borderId="13" xfId="2" applyNumberFormat="1" applyFont="1" applyBorder="1"/>
    <xf numFmtId="43" fontId="7" fillId="0" borderId="0" xfId="2" applyNumberFormat="1" applyFont="1" applyBorder="1"/>
    <xf numFmtId="43" fontId="8" fillId="0" borderId="0" xfId="2" applyNumberFormat="1" applyFont="1" applyBorder="1"/>
    <xf numFmtId="43" fontId="7" fillId="0" borderId="14" xfId="2" applyNumberFormat="1" applyFont="1" applyBorder="1"/>
    <xf numFmtId="43" fontId="7" fillId="0" borderId="15" xfId="1" applyFont="1" applyBorder="1"/>
    <xf numFmtId="43" fontId="7" fillId="0" borderId="16" xfId="1" applyFont="1" applyBorder="1"/>
    <xf numFmtId="43" fontId="7" fillId="0" borderId="17" xfId="1" applyFont="1" applyBorder="1"/>
    <xf numFmtId="43" fontId="9" fillId="0" borderId="17" xfId="1" applyFont="1" applyBorder="1"/>
    <xf numFmtId="10" fontId="7" fillId="0" borderId="0" xfId="0" applyNumberFormat="1" applyFont="1"/>
    <xf numFmtId="0" fontId="8" fillId="0" borderId="0" xfId="0" applyFont="1"/>
    <xf numFmtId="0" fontId="8" fillId="0" borderId="0" xfId="0" applyFont="1" applyAlignment="1">
      <alignment horizontal="right"/>
    </xf>
    <xf numFmtId="10" fontId="8" fillId="0" borderId="0" xfId="0" applyNumberFormat="1" applyFont="1"/>
    <xf numFmtId="0" fontId="2" fillId="0" borderId="13" xfId="0" applyFont="1" applyBorder="1" applyAlignment="1">
      <alignment horizontal="right"/>
    </xf>
    <xf numFmtId="0" fontId="2" fillId="3" borderId="0" xfId="0" applyFont="1" applyFill="1"/>
    <xf numFmtId="0" fontId="2" fillId="0" borderId="14" xfId="0" applyFont="1" applyBorder="1"/>
    <xf numFmtId="44" fontId="2" fillId="3" borderId="0" xfId="2" applyFont="1" applyFill="1" applyBorder="1"/>
    <xf numFmtId="10" fontId="2" fillId="3" borderId="0" xfId="3" applyNumberFormat="1" applyFont="1" applyFill="1" applyBorder="1"/>
    <xf numFmtId="1" fontId="2" fillId="3" borderId="0" xfId="3" applyNumberFormat="1" applyFont="1" applyFill="1" applyBorder="1"/>
    <xf numFmtId="169" fontId="2" fillId="3" borderId="0" xfId="3" applyNumberFormat="1" applyFont="1" applyFill="1" applyBorder="1"/>
    <xf numFmtId="169" fontId="2" fillId="0" borderId="0" xfId="3" applyNumberFormat="1" applyFont="1" applyBorder="1"/>
    <xf numFmtId="0" fontId="13" fillId="0" borderId="13" xfId="0" applyFont="1" applyBorder="1" applyAlignment="1">
      <alignment horizontal="right"/>
    </xf>
    <xf numFmtId="44" fontId="2" fillId="0" borderId="0" xfId="2" applyFont="1" applyBorder="1"/>
    <xf numFmtId="0" fontId="2" fillId="0" borderId="13" xfId="0" applyFont="1" applyBorder="1"/>
    <xf numFmtId="0" fontId="13" fillId="0" borderId="13" xfId="0" applyFont="1" applyBorder="1" applyAlignment="1">
      <alignment horizontal="center"/>
    </xf>
    <xf numFmtId="0" fontId="13" fillId="0" borderId="0" xfId="0" applyFont="1" applyAlignment="1">
      <alignment horizontal="center" wrapText="1"/>
    </xf>
    <xf numFmtId="0" fontId="2" fillId="0" borderId="13" xfId="0" applyFont="1" applyBorder="1" applyAlignment="1">
      <alignment horizontal="center"/>
    </xf>
    <xf numFmtId="43" fontId="2" fillId="0" borderId="0" xfId="0" applyNumberFormat="1" applyFont="1"/>
    <xf numFmtId="43" fontId="2" fillId="0" borderId="14" xfId="1" applyFont="1" applyBorder="1"/>
    <xf numFmtId="43" fontId="14" fillId="0" borderId="14" xfId="1" applyFont="1" applyBorder="1"/>
    <xf numFmtId="43" fontId="5" fillId="0" borderId="14" xfId="1" applyFont="1" applyBorder="1"/>
    <xf numFmtId="0" fontId="13" fillId="0" borderId="0" xfId="0" applyFont="1" applyAlignment="1">
      <alignment horizontal="right"/>
    </xf>
    <xf numFmtId="44" fontId="13" fillId="0" borderId="14" xfId="2" applyFont="1" applyBorder="1"/>
    <xf numFmtId="43" fontId="13" fillId="0" borderId="0" xfId="0" applyNumberFormat="1" applyFont="1" applyAlignment="1">
      <alignment horizontal="right"/>
    </xf>
    <xf numFmtId="44" fontId="15" fillId="0" borderId="14" xfId="2" applyFont="1" applyBorder="1"/>
    <xf numFmtId="8" fontId="15" fillId="0" borderId="14" xfId="1" applyNumberFormat="1" applyFont="1" applyBorder="1"/>
    <xf numFmtId="10" fontId="13" fillId="0" borderId="14" xfId="1" applyNumberFormat="1" applyFont="1" applyBorder="1"/>
    <xf numFmtId="44" fontId="2" fillId="0" borderId="14" xfId="2" applyFont="1" applyBorder="1"/>
    <xf numFmtId="0" fontId="2" fillId="0" borderId="15" xfId="0" applyFont="1" applyBorder="1"/>
    <xf numFmtId="0" fontId="2" fillId="0" borderId="16" xfId="0" applyFont="1" applyBorder="1" applyAlignment="1">
      <alignment horizontal="right"/>
    </xf>
    <xf numFmtId="44" fontId="2" fillId="0" borderId="17" xfId="0" applyNumberFormat="1" applyFont="1" applyBorder="1"/>
    <xf numFmtId="44" fontId="2" fillId="0" borderId="0" xfId="0" applyNumberFormat="1" applyFont="1"/>
    <xf numFmtId="0" fontId="7" fillId="0" borderId="7" xfId="0" applyFont="1" applyBorder="1"/>
    <xf numFmtId="0" fontId="7" fillId="0" borderId="8" xfId="0" applyFont="1" applyBorder="1"/>
    <xf numFmtId="0" fontId="7" fillId="0" borderId="9" xfId="0" applyFont="1" applyBorder="1"/>
    <xf numFmtId="0" fontId="8" fillId="0" borderId="13" xfId="0" applyFont="1" applyBorder="1" applyAlignment="1">
      <alignment horizontal="right"/>
    </xf>
    <xf numFmtId="0" fontId="8" fillId="0" borderId="0" xfId="0" applyFont="1" applyAlignment="1">
      <alignment horizontal="center"/>
    </xf>
    <xf numFmtId="0" fontId="8" fillId="0" borderId="11" xfId="0" applyFont="1" applyBorder="1" applyAlignment="1">
      <alignment horizontal="center"/>
    </xf>
    <xf numFmtId="0" fontId="18" fillId="0" borderId="13" xfId="0" applyFont="1" applyBorder="1" applyAlignment="1">
      <alignment horizontal="center"/>
    </xf>
    <xf numFmtId="43" fontId="7" fillId="0" borderId="0" xfId="1" applyFont="1"/>
    <xf numFmtId="170" fontId="16" fillId="0" borderId="0" xfId="0" applyNumberFormat="1" applyFont="1"/>
    <xf numFmtId="164" fontId="18" fillId="0" borderId="0" xfId="1" applyNumberFormat="1" applyFont="1"/>
    <xf numFmtId="0" fontId="18" fillId="0" borderId="15" xfId="0" applyFont="1" applyBorder="1" applyAlignment="1">
      <alignment horizontal="center"/>
    </xf>
    <xf numFmtId="164" fontId="7" fillId="0" borderId="0" xfId="3" applyNumberFormat="1" applyFont="1"/>
    <xf numFmtId="171" fontId="7" fillId="0" borderId="0" xfId="0" applyNumberFormat="1" applyFont="1"/>
    <xf numFmtId="0" fontId="20" fillId="0" borderId="0" xfId="0" applyFont="1" applyAlignment="1">
      <alignment horizontal="right"/>
    </xf>
    <xf numFmtId="0" fontId="18" fillId="0" borderId="0" xfId="0" applyFont="1" applyAlignment="1">
      <alignment horizontal="center"/>
    </xf>
    <xf numFmtId="0" fontId="22" fillId="0" borderId="0" xfId="0" applyFont="1"/>
    <xf numFmtId="0" fontId="22" fillId="0" borderId="0" xfId="0" applyFont="1" applyAlignment="1">
      <alignment horizontal="right"/>
    </xf>
    <xf numFmtId="0" fontId="23" fillId="0" borderId="0" xfId="0" applyFont="1" applyAlignment="1">
      <alignment horizontal="center"/>
    </xf>
    <xf numFmtId="164" fontId="22" fillId="0" borderId="0" xfId="3" applyNumberFormat="1" applyFont="1"/>
    <xf numFmtId="171" fontId="22" fillId="0" borderId="0" xfId="0" applyNumberFormat="1" applyFont="1"/>
    <xf numFmtId="167" fontId="22" fillId="0" borderId="0" xfId="0" applyNumberFormat="1" applyFont="1"/>
    <xf numFmtId="172" fontId="22" fillId="0" borderId="0" xfId="0" applyNumberFormat="1" applyFont="1"/>
    <xf numFmtId="0" fontId="25" fillId="0" borderId="10" xfId="0" applyFont="1" applyBorder="1" applyAlignment="1">
      <alignment horizontal="center"/>
    </xf>
    <xf numFmtId="0" fontId="26" fillId="0" borderId="0" xfId="0" applyFont="1" applyAlignment="1">
      <alignment horizontal="right"/>
    </xf>
    <xf numFmtId="173" fontId="22" fillId="0" borderId="0" xfId="0" applyNumberFormat="1" applyFont="1" applyAlignment="1">
      <alignment horizontal="right"/>
    </xf>
    <xf numFmtId="174" fontId="22" fillId="0" borderId="0" xfId="1" applyNumberFormat="1" applyFont="1"/>
    <xf numFmtId="43" fontId="22" fillId="0" borderId="0" xfId="1" applyFont="1"/>
    <xf numFmtId="174" fontId="26" fillId="0" borderId="10" xfId="1" applyNumberFormat="1" applyFont="1" applyBorder="1"/>
    <xf numFmtId="43" fontId="26" fillId="0" borderId="10" xfId="1" applyFont="1" applyBorder="1"/>
    <xf numFmtId="0" fontId="22" fillId="0" borderId="0" xfId="0" applyFont="1" applyAlignment="1">
      <alignment horizontal="center"/>
    </xf>
    <xf numFmtId="174" fontId="22" fillId="0" borderId="10" xfId="1" applyNumberFormat="1" applyFont="1" applyBorder="1"/>
    <xf numFmtId="43" fontId="22" fillId="0" borderId="10" xfId="1" applyFont="1" applyBorder="1"/>
    <xf numFmtId="0" fontId="23" fillId="0" borderId="0" xfId="0" applyFont="1" applyAlignment="1">
      <alignment horizontal="right"/>
    </xf>
    <xf numFmtId="0" fontId="23" fillId="0" borderId="0" xfId="0" applyFont="1"/>
    <xf numFmtId="165" fontId="23" fillId="0" borderId="0" xfId="2" applyNumberFormat="1" applyFont="1"/>
    <xf numFmtId="10" fontId="7" fillId="0" borderId="0" xfId="3" applyNumberFormat="1" applyFont="1" applyBorder="1" applyAlignment="1">
      <alignment horizontal="right"/>
    </xf>
    <xf numFmtId="0" fontId="7" fillId="0" borderId="16" xfId="0" applyFont="1" applyBorder="1" applyAlignment="1">
      <alignment horizontal="center"/>
    </xf>
    <xf numFmtId="0" fontId="7" fillId="0" borderId="21" xfId="0" applyFont="1" applyBorder="1" applyAlignment="1">
      <alignment horizontal="center" wrapText="1"/>
    </xf>
    <xf numFmtId="0" fontId="7" fillId="0" borderId="22" xfId="0" applyFont="1" applyBorder="1" applyAlignment="1">
      <alignment horizontal="center" wrapText="1"/>
    </xf>
    <xf numFmtId="0" fontId="7" fillId="0" borderId="16" xfId="0" applyFont="1" applyBorder="1" applyAlignment="1">
      <alignment horizontal="center" wrapText="1"/>
    </xf>
    <xf numFmtId="167" fontId="7" fillId="0" borderId="3" xfId="0" applyNumberFormat="1" applyFont="1" applyBorder="1"/>
    <xf numFmtId="167" fontId="7" fillId="0" borderId="4" xfId="0" applyNumberFormat="1" applyFont="1" applyBorder="1"/>
    <xf numFmtId="175" fontId="7" fillId="0" borderId="0" xfId="0" applyNumberFormat="1" applyFont="1"/>
    <xf numFmtId="167" fontId="7" fillId="0" borderId="0" xfId="0" applyNumberFormat="1" applyFont="1"/>
    <xf numFmtId="175" fontId="7" fillId="0" borderId="0" xfId="3" applyNumberFormat="1" applyFont="1"/>
    <xf numFmtId="176" fontId="7" fillId="0" borderId="0" xfId="0" applyNumberFormat="1" applyFont="1"/>
    <xf numFmtId="167" fontId="7" fillId="0" borderId="5" xfId="0" applyNumberFormat="1" applyFont="1" applyBorder="1"/>
    <xf numFmtId="167" fontId="7" fillId="0" borderId="6" xfId="0" applyNumberFormat="1" applyFont="1" applyBorder="1"/>
    <xf numFmtId="0" fontId="28" fillId="0" borderId="0" xfId="0" applyFont="1"/>
    <xf numFmtId="0" fontId="0" fillId="0" borderId="0" xfId="0" applyAlignment="1">
      <alignment horizontal="center"/>
    </xf>
    <xf numFmtId="0" fontId="29" fillId="0" borderId="0" xfId="0" applyFont="1"/>
    <xf numFmtId="0" fontId="29" fillId="0" borderId="0" xfId="0" applyFont="1" applyAlignment="1">
      <alignment horizontal="center"/>
    </xf>
    <xf numFmtId="10" fontId="0" fillId="0" borderId="0" xfId="0" applyNumberFormat="1" applyAlignment="1">
      <alignment horizontal="center"/>
    </xf>
    <xf numFmtId="171" fontId="0" fillId="0" borderId="0" xfId="0" applyNumberFormat="1" applyAlignment="1">
      <alignment horizontal="center"/>
    </xf>
    <xf numFmtId="164" fontId="0" fillId="0" borderId="0" xfId="0" applyNumberFormat="1" applyAlignment="1">
      <alignment horizontal="center"/>
    </xf>
    <xf numFmtId="177" fontId="0" fillId="0" borderId="0" xfId="0" applyNumberFormat="1" applyAlignment="1">
      <alignment horizontal="center"/>
    </xf>
    <xf numFmtId="178" fontId="0" fillId="0" borderId="0" xfId="0" applyNumberFormat="1" applyAlignment="1">
      <alignment horizontal="center"/>
    </xf>
    <xf numFmtId="178" fontId="0" fillId="0" borderId="0" xfId="0" applyNumberFormat="1"/>
    <xf numFmtId="0" fontId="0" fillId="0" borderId="0" xfId="0" applyAlignment="1">
      <alignment horizontal="center" wrapText="1"/>
    </xf>
    <xf numFmtId="0" fontId="0" fillId="4" borderId="0" xfId="0" applyFill="1"/>
    <xf numFmtId="0" fontId="0" fillId="5" borderId="0" xfId="0" applyFill="1"/>
    <xf numFmtId="0" fontId="29" fillId="4" borderId="0" xfId="0" applyFont="1" applyFill="1"/>
    <xf numFmtId="0" fontId="30" fillId="0" borderId="0" xfId="0" applyFont="1"/>
    <xf numFmtId="0" fontId="0" fillId="2" borderId="0" xfId="0" applyFill="1"/>
    <xf numFmtId="0" fontId="31" fillId="0" borderId="0" xfId="0" applyFont="1"/>
    <xf numFmtId="179" fontId="7" fillId="0" borderId="0" xfId="2" applyNumberFormat="1" applyFont="1"/>
    <xf numFmtId="180" fontId="7" fillId="0" borderId="0" xfId="1" applyNumberFormat="1" applyFont="1"/>
    <xf numFmtId="0" fontId="32" fillId="0" borderId="0" xfId="0" applyFont="1"/>
    <xf numFmtId="0" fontId="32" fillId="0" borderId="0" xfId="0" applyFont="1" applyAlignment="1">
      <alignment horizontal="right"/>
    </xf>
    <xf numFmtId="39" fontId="32" fillId="0" borderId="0" xfId="0" applyNumberFormat="1" applyFont="1"/>
    <xf numFmtId="0" fontId="7" fillId="0" borderId="10" xfId="0" applyFont="1" applyBorder="1" applyAlignment="1">
      <alignment horizontal="center"/>
    </xf>
    <xf numFmtId="0" fontId="7" fillId="0" borderId="10" xfId="0" applyFont="1" applyBorder="1" applyAlignment="1">
      <alignment horizontal="center" wrapText="1"/>
    </xf>
    <xf numFmtId="44" fontId="7" fillId="0" borderId="0" xfId="0" applyNumberFormat="1" applyFont="1"/>
    <xf numFmtId="8" fontId="7" fillId="0" borderId="0" xfId="0" applyNumberFormat="1" applyFont="1"/>
    <xf numFmtId="9" fontId="7" fillId="0" borderId="0" xfId="3" applyFont="1"/>
    <xf numFmtId="181" fontId="7" fillId="0" borderId="0" xfId="3" applyNumberFormat="1" applyFont="1"/>
    <xf numFmtId="0" fontId="7" fillId="6" borderId="0" xfId="0" applyFont="1" applyFill="1"/>
    <xf numFmtId="10" fontId="7" fillId="6" borderId="0" xfId="3" applyNumberFormat="1" applyFont="1" applyFill="1"/>
    <xf numFmtId="181" fontId="7" fillId="6" borderId="0" xfId="3" applyNumberFormat="1" applyFont="1" applyFill="1"/>
    <xf numFmtId="0" fontId="0" fillId="0" borderId="0" xfId="0" applyAlignment="1">
      <alignment horizontal="right"/>
    </xf>
    <xf numFmtId="0" fontId="16" fillId="0" borderId="0" xfId="0" quotePrefix="1" applyFont="1"/>
    <xf numFmtId="0" fontId="0" fillId="0" borderId="0" xfId="0" quotePrefix="1"/>
    <xf numFmtId="0" fontId="0" fillId="0" borderId="0" xfId="0" applyAlignment="1">
      <alignment horizontal="left"/>
    </xf>
    <xf numFmtId="182" fontId="0" fillId="0" borderId="0" xfId="2" applyNumberFormat="1" applyFont="1"/>
    <xf numFmtId="169" fontId="0" fillId="0" borderId="0" xfId="3" applyNumberFormat="1" applyFont="1"/>
    <xf numFmtId="169" fontId="0" fillId="0" borderId="0" xfId="3" applyNumberFormat="1" applyFont="1" applyAlignment="1">
      <alignment horizontal="center"/>
    </xf>
    <xf numFmtId="182" fontId="0" fillId="0" borderId="0" xfId="0" applyNumberFormat="1"/>
    <xf numFmtId="10" fontId="0" fillId="0" borderId="0" xfId="3" applyNumberFormat="1" applyFont="1"/>
    <xf numFmtId="10" fontId="0" fillId="0" borderId="0" xfId="0" applyNumberFormat="1"/>
    <xf numFmtId="0" fontId="0" fillId="0" borderId="10" xfId="0" applyBorder="1" applyAlignment="1">
      <alignment horizontal="center" wrapText="1"/>
    </xf>
    <xf numFmtId="10" fontId="0" fillId="0" borderId="0" xfId="3" applyNumberFormat="1" applyFont="1" applyAlignment="1">
      <alignment horizontal="center"/>
    </xf>
    <xf numFmtId="183" fontId="0" fillId="0" borderId="0" xfId="0" applyNumberFormat="1"/>
    <xf numFmtId="10" fontId="33" fillId="0" borderId="0" xfId="3" applyNumberFormat="1" applyFont="1" applyAlignment="1">
      <alignment horizontal="center"/>
    </xf>
    <xf numFmtId="10" fontId="33" fillId="0" borderId="0" xfId="0" applyNumberFormat="1" applyFont="1"/>
    <xf numFmtId="183" fontId="33" fillId="0" borderId="0" xfId="0" applyNumberFormat="1" applyFont="1"/>
    <xf numFmtId="0" fontId="2" fillId="7" borderId="0" xfId="0" applyFont="1" applyFill="1"/>
    <xf numFmtId="0" fontId="7" fillId="7" borderId="0" xfId="0" applyFont="1" applyFill="1"/>
    <xf numFmtId="44" fontId="13" fillId="6" borderId="0" xfId="2" applyFont="1" applyFill="1" applyBorder="1"/>
    <xf numFmtId="8" fontId="13" fillId="6" borderId="0" xfId="2" applyNumberFormat="1" applyFont="1" applyFill="1" applyBorder="1"/>
    <xf numFmtId="0" fontId="2" fillId="6" borderId="13" xfId="0" applyFont="1" applyFill="1" applyBorder="1" applyAlignment="1">
      <alignment horizontal="center"/>
    </xf>
    <xf numFmtId="0" fontId="13" fillId="6" borderId="14" xfId="0" applyFont="1" applyFill="1" applyBorder="1" applyAlignment="1">
      <alignment horizontal="center"/>
    </xf>
    <xf numFmtId="0" fontId="13" fillId="6" borderId="13" xfId="0" applyFont="1" applyFill="1" applyBorder="1" applyAlignment="1">
      <alignment horizontal="right"/>
    </xf>
    <xf numFmtId="0" fontId="7" fillId="2" borderId="0" xfId="0" applyFont="1" applyFill="1" applyAlignment="1">
      <alignment horizontal="right"/>
    </xf>
    <xf numFmtId="0" fontId="8" fillId="2" borderId="10" xfId="0" applyFont="1" applyFill="1" applyBorder="1" applyAlignment="1">
      <alignment horizontal="center"/>
    </xf>
    <xf numFmtId="0" fontId="16" fillId="2" borderId="10" xfId="0" applyFont="1" applyFill="1" applyBorder="1" applyAlignment="1">
      <alignment horizontal="center"/>
    </xf>
    <xf numFmtId="0" fontId="17" fillId="2" borderId="10" xfId="0" applyFont="1" applyFill="1" applyBorder="1" applyAlignment="1">
      <alignment horizontal="center"/>
    </xf>
    <xf numFmtId="0" fontId="20" fillId="2" borderId="0" xfId="0" applyFont="1" applyFill="1" applyAlignment="1">
      <alignment horizontal="right"/>
    </xf>
    <xf numFmtId="0" fontId="8" fillId="6" borderId="10" xfId="0" applyFont="1" applyFill="1" applyBorder="1" applyAlignment="1">
      <alignment horizontal="center"/>
    </xf>
    <xf numFmtId="0" fontId="8" fillId="6" borderId="12" xfId="0" applyFont="1" applyFill="1" applyBorder="1" applyAlignment="1">
      <alignment horizontal="center"/>
    </xf>
    <xf numFmtId="0" fontId="2" fillId="0" borderId="0" xfId="0" applyFont="1" applyAlignment="1">
      <alignment wrapText="1"/>
    </xf>
    <xf numFmtId="0" fontId="2" fillId="0" borderId="0" xfId="0" applyFont="1" applyAlignment="1">
      <alignment horizontal="right" wrapText="1"/>
    </xf>
    <xf numFmtId="0" fontId="2" fillId="6" borderId="0" xfId="0" applyFont="1" applyFill="1" applyAlignment="1">
      <alignment horizontal="right" wrapText="1"/>
    </xf>
    <xf numFmtId="0" fontId="6" fillId="2" borderId="0" xfId="0" applyFont="1" applyFill="1" applyAlignment="1">
      <alignment horizontal="right" wrapText="1"/>
    </xf>
    <xf numFmtId="0" fontId="2" fillId="2" borderId="1" xfId="0" applyFont="1" applyFill="1" applyBorder="1" applyAlignment="1">
      <alignment wrapText="1"/>
    </xf>
    <xf numFmtId="0" fontId="2" fillId="0" borderId="2" xfId="0" applyFont="1" applyBorder="1" applyAlignment="1">
      <alignment wrapText="1"/>
    </xf>
    <xf numFmtId="164" fontId="2" fillId="2" borderId="3" xfId="3" applyNumberFormat="1" applyFont="1" applyFill="1" applyBorder="1" applyAlignment="1">
      <alignment wrapText="1"/>
    </xf>
    <xf numFmtId="0" fontId="2" fillId="0" borderId="4" xfId="0" applyFont="1" applyBorder="1" applyAlignment="1">
      <alignment wrapText="1"/>
    </xf>
    <xf numFmtId="44" fontId="2" fillId="2" borderId="3" xfId="2" applyFont="1" applyFill="1" applyBorder="1" applyAlignment="1">
      <alignment wrapText="1"/>
    </xf>
    <xf numFmtId="0" fontId="2" fillId="2" borderId="3" xfId="0" applyFont="1" applyFill="1" applyBorder="1" applyAlignment="1">
      <alignment wrapText="1"/>
    </xf>
    <xf numFmtId="0" fontId="2" fillId="0" borderId="3" xfId="0" applyFont="1" applyBorder="1" applyAlignment="1">
      <alignment wrapText="1"/>
    </xf>
    <xf numFmtId="165" fontId="2" fillId="0" borderId="3" xfId="2" applyNumberFormat="1" applyFont="1" applyBorder="1" applyAlignment="1">
      <alignment wrapText="1"/>
    </xf>
    <xf numFmtId="165" fontId="2" fillId="0" borderId="3" xfId="0" applyNumberFormat="1" applyFont="1" applyBorder="1" applyAlignment="1">
      <alignment wrapText="1"/>
    </xf>
    <xf numFmtId="164" fontId="2" fillId="0" borderId="3" xfId="3" applyNumberFormat="1" applyFont="1" applyBorder="1" applyAlignment="1">
      <alignment wrapText="1"/>
    </xf>
    <xf numFmtId="1" fontId="2" fillId="0" borderId="3" xfId="3" applyNumberFormat="1" applyFont="1" applyBorder="1" applyAlignment="1">
      <alignment wrapText="1"/>
    </xf>
    <xf numFmtId="166" fontId="2" fillId="0" borderId="3" xfId="0" applyNumberFormat="1" applyFont="1" applyBorder="1" applyAlignment="1">
      <alignment wrapText="1"/>
    </xf>
    <xf numFmtId="166" fontId="4" fillId="0" borderId="3" xfId="1" applyNumberFormat="1" applyFont="1" applyBorder="1" applyAlignment="1">
      <alignment wrapText="1"/>
    </xf>
    <xf numFmtId="167" fontId="2" fillId="0" borderId="3" xfId="0" applyNumberFormat="1" applyFont="1" applyBorder="1" applyAlignment="1">
      <alignment wrapText="1"/>
    </xf>
    <xf numFmtId="165" fontId="2" fillId="0" borderId="4" xfId="2" applyNumberFormat="1" applyFont="1" applyBorder="1" applyAlignment="1">
      <alignment wrapText="1"/>
    </xf>
    <xf numFmtId="165" fontId="5" fillId="0" borderId="4" xfId="1" applyNumberFormat="1" applyFont="1" applyBorder="1" applyAlignment="1">
      <alignment wrapText="1"/>
    </xf>
    <xf numFmtId="0" fontId="2" fillId="0" borderId="5" xfId="0" applyFont="1" applyBorder="1" applyAlignment="1">
      <alignment wrapText="1"/>
    </xf>
    <xf numFmtId="165" fontId="2" fillId="0" borderId="6" xfId="0" applyNumberFormat="1" applyFont="1" applyBorder="1" applyAlignment="1">
      <alignment wrapText="1"/>
    </xf>
    <xf numFmtId="9" fontId="2" fillId="0" borderId="0" xfId="0" applyNumberFormat="1" applyFont="1" applyAlignment="1">
      <alignment wrapText="1"/>
    </xf>
    <xf numFmtId="0" fontId="2" fillId="2" borderId="0" xfId="0" applyFont="1" applyFill="1"/>
    <xf numFmtId="173" fontId="22" fillId="0" borderId="0" xfId="0" applyNumberFormat="1" applyFont="1" applyAlignment="1">
      <alignment horizontal="center"/>
    </xf>
    <xf numFmtId="0" fontId="3" fillId="0" borderId="0" xfId="0" applyFont="1"/>
    <xf numFmtId="0" fontId="29" fillId="0" borderId="0" xfId="4">
      <alignment horizontal="center"/>
    </xf>
    <xf numFmtId="0" fontId="0" fillId="6" borderId="0" xfId="0" applyFill="1"/>
    <xf numFmtId="167" fontId="0" fillId="0" borderId="0" xfId="0" applyNumberFormat="1"/>
    <xf numFmtId="4" fontId="0" fillId="6" borderId="0" xfId="0" applyNumberFormat="1" applyFill="1"/>
    <xf numFmtId="184" fontId="0" fillId="0" borderId="0" xfId="0" applyNumberFormat="1"/>
    <xf numFmtId="2" fontId="0" fillId="0" borderId="0" xfId="0" applyNumberFormat="1"/>
    <xf numFmtId="2" fontId="0" fillId="6" borderId="0" xfId="0" applyNumberFormat="1" applyFill="1"/>
    <xf numFmtId="10" fontId="0" fillId="6" borderId="0" xfId="0" applyNumberFormat="1" applyFill="1"/>
    <xf numFmtId="9" fontId="0" fillId="6" borderId="0" xfId="3" applyFont="1" applyFill="1"/>
    <xf numFmtId="181" fontId="0" fillId="0" borderId="0" xfId="0" applyNumberFormat="1"/>
    <xf numFmtId="3" fontId="0" fillId="6" borderId="0" xfId="0" applyNumberFormat="1" applyFill="1"/>
    <xf numFmtId="3" fontId="0" fillId="0" borderId="0" xfId="0" applyNumberFormat="1"/>
    <xf numFmtId="4" fontId="0" fillId="0" borderId="0" xfId="0" applyNumberFormat="1"/>
    <xf numFmtId="0" fontId="0" fillId="0" borderId="0" xfId="0" applyAlignment="1">
      <alignment wrapText="1"/>
    </xf>
    <xf numFmtId="0" fontId="6" fillId="2" borderId="0" xfId="0" applyFont="1" applyFill="1" applyAlignment="1">
      <alignment wrapText="1"/>
    </xf>
    <xf numFmtId="0" fontId="3" fillId="0" borderId="0" xfId="0" applyFont="1" applyAlignment="1">
      <alignment horizont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13" fillId="0" borderId="18" xfId="0" applyFont="1" applyBorder="1" applyAlignment="1">
      <alignment horizontal="center"/>
    </xf>
    <xf numFmtId="0" fontId="13" fillId="0" borderId="19" xfId="0" applyFont="1" applyBorder="1" applyAlignment="1">
      <alignment horizontal="center"/>
    </xf>
    <xf numFmtId="0" fontId="13" fillId="0" borderId="20" xfId="0" applyFont="1" applyBorder="1" applyAlignment="1">
      <alignment horizontal="center"/>
    </xf>
    <xf numFmtId="0" fontId="8" fillId="0" borderId="16" xfId="0" applyFont="1" applyBorder="1" applyAlignment="1">
      <alignment horizontal="center"/>
    </xf>
    <xf numFmtId="0" fontId="8" fillId="0" borderId="17" xfId="0" applyFont="1" applyBorder="1" applyAlignment="1">
      <alignment horizontal="center"/>
    </xf>
    <xf numFmtId="0" fontId="7" fillId="0" borderId="1" xfId="0" applyFont="1" applyBorder="1" applyAlignment="1">
      <alignment horizontal="center" wrapText="1"/>
    </xf>
    <xf numFmtId="0" fontId="7" fillId="0" borderId="2" xfId="0" applyFont="1" applyBorder="1" applyAlignment="1">
      <alignment horizontal="center" wrapText="1"/>
    </xf>
    <xf numFmtId="0" fontId="25" fillId="0" borderId="10" xfId="0" applyFont="1" applyBorder="1" applyAlignment="1">
      <alignment horizontal="center"/>
    </xf>
  </cellXfs>
  <cellStyles count="5">
    <cellStyle name="Comma" xfId="1" builtinId="3"/>
    <cellStyle name="Currency" xfId="2" builtinId="4"/>
    <cellStyle name="header_style" xfId="4" xr:uid="{96C1F676-EE46-4C78-9A46-4945B1AEC64C}"/>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PV Factors (b(t))</a:t>
            </a:r>
          </a:p>
        </c:rich>
      </c:tx>
      <c:overlay val="1"/>
    </c:title>
    <c:autoTitleDeleted val="0"/>
    <c:plotArea>
      <c:layout/>
      <c:lineChart>
        <c:grouping val="standard"/>
        <c:varyColors val="1"/>
        <c:ser>
          <c:idx val="0"/>
          <c:order val="0"/>
          <c:tx>
            <c:strRef>
              <c:f>'[1]PV Factors'!$B$1</c:f>
              <c:strCache>
                <c:ptCount val="1"/>
                <c:pt idx="0">
                  <c:v>b(t) = 1/(1+r)^t</c:v>
                </c:pt>
              </c:strCache>
            </c:strRef>
          </c:tx>
          <c:spPr>
            <a:ln>
              <a:prstDash val="solid"/>
            </a:ln>
          </c:spPr>
          <c:marker>
            <c:symbol val="none"/>
          </c:marker>
          <c:cat>
            <c:numRef>
              <c:f>'[1]PV Factors'!$A$2:$A$21</c:f>
              <c:numCache>
                <c:formatCode>General</c:formatCode>
                <c:ptCount val="2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numCache>
            </c:numRef>
          </c:cat>
          <c:val>
            <c:numRef>
              <c:f>'[1]PV Factors'!$B$2:$B$21</c:f>
              <c:numCache>
                <c:formatCode>General</c:formatCode>
                <c:ptCount val="20"/>
                <c:pt idx="0">
                  <c:v>0.96618357487922713</c:v>
                </c:pt>
                <c:pt idx="1">
                  <c:v>0.93351070036640305</c:v>
                </c:pt>
                <c:pt idx="2">
                  <c:v>0.90194270566802237</c:v>
                </c:pt>
                <c:pt idx="3">
                  <c:v>0.87144222769857238</c:v>
                </c:pt>
                <c:pt idx="4">
                  <c:v>0.84197316685852419</c:v>
                </c:pt>
                <c:pt idx="5">
                  <c:v>0.81350064430775282</c:v>
                </c:pt>
                <c:pt idx="6">
                  <c:v>0.78599096068381913</c:v>
                </c:pt>
                <c:pt idx="7">
                  <c:v>0.75941155621625056</c:v>
                </c:pt>
                <c:pt idx="8">
                  <c:v>0.73373097218961414</c:v>
                </c:pt>
                <c:pt idx="9">
                  <c:v>0.70891881370977217</c:v>
                </c:pt>
                <c:pt idx="10">
                  <c:v>0.68494571372924851</c:v>
                </c:pt>
                <c:pt idx="11">
                  <c:v>0.66178329828912896</c:v>
                </c:pt>
                <c:pt idx="12">
                  <c:v>0.63940415293635666</c:v>
                </c:pt>
                <c:pt idx="13">
                  <c:v>0.61778179027667302</c:v>
                </c:pt>
                <c:pt idx="14">
                  <c:v>0.59689061862480497</c:v>
                </c:pt>
                <c:pt idx="15">
                  <c:v>0.57670591171478747</c:v>
                </c:pt>
                <c:pt idx="16">
                  <c:v>0.55720377943457733</c:v>
                </c:pt>
                <c:pt idx="17">
                  <c:v>0.53836113955031628</c:v>
                </c:pt>
                <c:pt idx="18">
                  <c:v>0.52015569038677911</c:v>
                </c:pt>
                <c:pt idx="19">
                  <c:v>0.50256588443167061</c:v>
                </c:pt>
              </c:numCache>
            </c:numRef>
          </c:val>
          <c:smooth val="1"/>
          <c:extLst>
            <c:ext xmlns:c16="http://schemas.microsoft.com/office/drawing/2014/chart" uri="{C3380CC4-5D6E-409C-BE32-E72D297353CC}">
              <c16:uniqueId val="{00000000-B8F0-473C-8B83-6829A4897C75}"/>
            </c:ext>
          </c:extLst>
        </c:ser>
        <c:dLbls>
          <c:showLegendKey val="0"/>
          <c:showVal val="0"/>
          <c:showCatName val="0"/>
          <c:showSerName val="0"/>
          <c:showPercent val="0"/>
          <c:showBubbleSize val="0"/>
        </c:dLbls>
        <c:smooth val="0"/>
        <c:axId val="10"/>
        <c:axId val="100"/>
      </c:lineChart>
      <c:catAx>
        <c:axId val="10"/>
        <c:scaling>
          <c:orientation val="minMax"/>
        </c:scaling>
        <c:delete val="1"/>
        <c:axPos val="b"/>
        <c:title>
          <c:tx>
            <c:rich>
              <a:bodyPr/>
              <a:lstStyle/>
              <a:p>
                <a:pPr>
                  <a:defRPr/>
                </a:pPr>
                <a:r>
                  <a:rPr lang="en-US"/>
                  <a:t>Year (t)</a:t>
                </a:r>
              </a:p>
            </c:rich>
          </c:tx>
          <c:overlay val="1"/>
        </c:title>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1"/>
        <c:axPos val="l"/>
        <c:majorGridlines/>
        <c:title>
          <c:tx>
            <c:rich>
              <a:bodyPr/>
              <a:lstStyle/>
              <a:p>
                <a:pPr>
                  <a:defRPr/>
                </a:pPr>
                <a:r>
                  <a:rPr lang="en-US"/>
                  <a:t>b(t)</a:t>
                </a:r>
              </a:p>
            </c:rich>
          </c:tx>
          <c:overlay val="1"/>
        </c:title>
        <c:numFmt formatCode="General" sourceLinked="1"/>
        <c:majorTickMark val="none"/>
        <c:minorTickMark val="none"/>
        <c:tickLblPos val="nextTo"/>
        <c:crossAx val="10"/>
        <c:crosses val="autoZero"/>
        <c:crossBetween val="between"/>
      </c:valAx>
    </c:plotArea>
    <c:legend>
      <c:legendPos val="r"/>
      <c:overlay val="0"/>
    </c:legend>
    <c:plotVisOnly val="1"/>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2400"/>
              <a:t>Mortgage Amortization</a:t>
            </a:r>
          </a:p>
        </c:rich>
      </c:tx>
      <c:layout>
        <c:manualLayout>
          <c:xMode val="edge"/>
          <c:yMode val="edge"/>
          <c:x val="0.36343168707940376"/>
          <c:y val="3.8345739681849546E-2"/>
        </c:manualLayout>
      </c:layout>
      <c:overlay val="1"/>
    </c:title>
    <c:autoTitleDeleted val="0"/>
    <c:plotArea>
      <c:layout/>
      <c:lineChart>
        <c:grouping val="standard"/>
        <c:varyColors val="0"/>
        <c:ser>
          <c:idx val="2"/>
          <c:order val="0"/>
          <c:tx>
            <c:strRef>
              <c:f>[2]Data!$D$8</c:f>
              <c:strCache>
                <c:ptCount val="1"/>
                <c:pt idx="0">
                  <c:v>Payment</c:v>
                </c:pt>
              </c:strCache>
            </c:strRef>
          </c:tx>
          <c:spPr>
            <a:ln w="57150">
              <a:solidFill>
                <a:srgbClr val="92D050"/>
              </a:solidFill>
            </a:ln>
          </c:spPr>
          <c:marker>
            <c:symbol val="none"/>
          </c:marker>
          <c:val>
            <c:numRef>
              <c:f>[2]Data!$D$9:$D$368</c:f>
              <c:numCache>
                <c:formatCode>General</c:formatCode>
                <c:ptCount val="360"/>
                <c:pt idx="0">
                  <c:v>3599.3525042021306</c:v>
                </c:pt>
                <c:pt idx="1">
                  <c:v>3599.3525042021306</c:v>
                </c:pt>
                <c:pt idx="2">
                  <c:v>3599.3525042021306</c:v>
                </c:pt>
                <c:pt idx="3">
                  <c:v>3599.3525042021306</c:v>
                </c:pt>
                <c:pt idx="4">
                  <c:v>3599.3525042021306</c:v>
                </c:pt>
                <c:pt idx="5">
                  <c:v>3599.3525042021306</c:v>
                </c:pt>
                <c:pt idx="6">
                  <c:v>3599.3525042021306</c:v>
                </c:pt>
                <c:pt idx="7">
                  <c:v>3599.3525042021306</c:v>
                </c:pt>
                <c:pt idx="8">
                  <c:v>3599.3525042021306</c:v>
                </c:pt>
                <c:pt idx="9">
                  <c:v>3599.3525042021306</c:v>
                </c:pt>
                <c:pt idx="10">
                  <c:v>3599.3525042021306</c:v>
                </c:pt>
                <c:pt idx="11">
                  <c:v>3599.3525042021306</c:v>
                </c:pt>
                <c:pt idx="12">
                  <c:v>3599.3525042021306</c:v>
                </c:pt>
                <c:pt idx="13">
                  <c:v>3599.3525042021306</c:v>
                </c:pt>
                <c:pt idx="14">
                  <c:v>3599.3525042021306</c:v>
                </c:pt>
                <c:pt idx="15">
                  <c:v>3599.3525042021306</c:v>
                </c:pt>
                <c:pt idx="16">
                  <c:v>3599.3525042021306</c:v>
                </c:pt>
                <c:pt idx="17">
                  <c:v>3599.3525042021306</c:v>
                </c:pt>
                <c:pt idx="18">
                  <c:v>3599.3525042021306</c:v>
                </c:pt>
                <c:pt idx="19">
                  <c:v>3599.3525042021306</c:v>
                </c:pt>
                <c:pt idx="20">
                  <c:v>3599.3525042021306</c:v>
                </c:pt>
                <c:pt idx="21">
                  <c:v>3599.3525042021306</c:v>
                </c:pt>
                <c:pt idx="22">
                  <c:v>3599.3525042021306</c:v>
                </c:pt>
                <c:pt idx="23">
                  <c:v>3599.3525042021306</c:v>
                </c:pt>
                <c:pt idx="24">
                  <c:v>3599.3525042021306</c:v>
                </c:pt>
                <c:pt idx="25">
                  <c:v>3599.3525042021306</c:v>
                </c:pt>
                <c:pt idx="26">
                  <c:v>3599.3525042021306</c:v>
                </c:pt>
                <c:pt idx="27">
                  <c:v>3599.3525042021306</c:v>
                </c:pt>
                <c:pt idx="28">
                  <c:v>3599.3525042021306</c:v>
                </c:pt>
                <c:pt idx="29">
                  <c:v>3599.3525042021306</c:v>
                </c:pt>
                <c:pt idx="30">
                  <c:v>3599.3525042021306</c:v>
                </c:pt>
                <c:pt idx="31">
                  <c:v>3599.3525042021306</c:v>
                </c:pt>
                <c:pt idx="32">
                  <c:v>3599.3525042021306</c:v>
                </c:pt>
                <c:pt idx="33">
                  <c:v>3599.3525042021306</c:v>
                </c:pt>
                <c:pt idx="34">
                  <c:v>3599.3525042021306</c:v>
                </c:pt>
                <c:pt idx="35">
                  <c:v>3599.3525042021306</c:v>
                </c:pt>
                <c:pt idx="36">
                  <c:v>3599.3525042021306</c:v>
                </c:pt>
                <c:pt idx="37">
                  <c:v>3599.3525042021306</c:v>
                </c:pt>
                <c:pt idx="38">
                  <c:v>3599.3525042021306</c:v>
                </c:pt>
                <c:pt idx="39">
                  <c:v>3599.3525042021306</c:v>
                </c:pt>
                <c:pt idx="40">
                  <c:v>3599.3525042021306</c:v>
                </c:pt>
                <c:pt idx="41">
                  <c:v>3599.3525042021306</c:v>
                </c:pt>
                <c:pt idx="42">
                  <c:v>3599.3525042021306</c:v>
                </c:pt>
                <c:pt idx="43">
                  <c:v>3599.3525042021306</c:v>
                </c:pt>
                <c:pt idx="44">
                  <c:v>3599.3525042021306</c:v>
                </c:pt>
                <c:pt idx="45">
                  <c:v>3599.3525042021306</c:v>
                </c:pt>
                <c:pt idx="46">
                  <c:v>3599.3525042021306</c:v>
                </c:pt>
                <c:pt idx="47">
                  <c:v>3599.3525042021306</c:v>
                </c:pt>
                <c:pt idx="48">
                  <c:v>3599.3525042021306</c:v>
                </c:pt>
                <c:pt idx="49">
                  <c:v>3599.3525042021306</c:v>
                </c:pt>
                <c:pt idx="50">
                  <c:v>3599.3525042021306</c:v>
                </c:pt>
                <c:pt idx="51">
                  <c:v>3599.3525042021306</c:v>
                </c:pt>
                <c:pt idx="52">
                  <c:v>3599.3525042021306</c:v>
                </c:pt>
                <c:pt idx="53">
                  <c:v>3599.3525042021306</c:v>
                </c:pt>
                <c:pt idx="54">
                  <c:v>3599.3525042021306</c:v>
                </c:pt>
                <c:pt idx="55">
                  <c:v>3599.3525042021306</c:v>
                </c:pt>
                <c:pt idx="56">
                  <c:v>3599.3525042021306</c:v>
                </c:pt>
                <c:pt idx="57">
                  <c:v>3599.3525042021306</c:v>
                </c:pt>
                <c:pt idx="58">
                  <c:v>3599.3525042021306</c:v>
                </c:pt>
                <c:pt idx="59">
                  <c:v>3599.3525042021306</c:v>
                </c:pt>
                <c:pt idx="60">
                  <c:v>3599.3525042021306</c:v>
                </c:pt>
                <c:pt idx="61">
                  <c:v>3599.3525042021306</c:v>
                </c:pt>
                <c:pt idx="62">
                  <c:v>3599.3525042021306</c:v>
                </c:pt>
                <c:pt idx="63">
                  <c:v>3599.3525042021306</c:v>
                </c:pt>
                <c:pt idx="64">
                  <c:v>3599.3525042021306</c:v>
                </c:pt>
                <c:pt idx="65">
                  <c:v>3599.3525042021306</c:v>
                </c:pt>
                <c:pt idx="66">
                  <c:v>3599.3525042021306</c:v>
                </c:pt>
                <c:pt idx="67">
                  <c:v>3599.3525042021306</c:v>
                </c:pt>
                <c:pt idx="68">
                  <c:v>3599.3525042021306</c:v>
                </c:pt>
                <c:pt idx="69">
                  <c:v>3599.3525042021306</c:v>
                </c:pt>
                <c:pt idx="70">
                  <c:v>3599.3525042021306</c:v>
                </c:pt>
                <c:pt idx="71">
                  <c:v>3599.3525042021306</c:v>
                </c:pt>
                <c:pt idx="72">
                  <c:v>3599.3525042021306</c:v>
                </c:pt>
                <c:pt idx="73">
                  <c:v>3599.3525042021306</c:v>
                </c:pt>
                <c:pt idx="74">
                  <c:v>3599.3525042021306</c:v>
                </c:pt>
                <c:pt idx="75">
                  <c:v>3599.3525042021306</c:v>
                </c:pt>
                <c:pt idx="76">
                  <c:v>3599.3525042021306</c:v>
                </c:pt>
                <c:pt idx="77">
                  <c:v>3599.3525042021306</c:v>
                </c:pt>
                <c:pt idx="78">
                  <c:v>3599.3525042021306</c:v>
                </c:pt>
                <c:pt idx="79">
                  <c:v>3599.3525042021306</c:v>
                </c:pt>
                <c:pt idx="80">
                  <c:v>3599.3525042021306</c:v>
                </c:pt>
                <c:pt idx="81">
                  <c:v>3599.3525042021306</c:v>
                </c:pt>
                <c:pt idx="82">
                  <c:v>3599.3525042021306</c:v>
                </c:pt>
                <c:pt idx="83">
                  <c:v>3599.3525042021306</c:v>
                </c:pt>
                <c:pt idx="84">
                  <c:v>3599.3525042021306</c:v>
                </c:pt>
                <c:pt idx="85">
                  <c:v>3599.3525042021306</c:v>
                </c:pt>
                <c:pt idx="86">
                  <c:v>3599.3525042021306</c:v>
                </c:pt>
                <c:pt idx="87">
                  <c:v>3599.3525042021306</c:v>
                </c:pt>
                <c:pt idx="88">
                  <c:v>3599.3525042021306</c:v>
                </c:pt>
                <c:pt idx="89">
                  <c:v>3599.3525042021306</c:v>
                </c:pt>
                <c:pt idx="90">
                  <c:v>3599.3525042021306</c:v>
                </c:pt>
                <c:pt idx="91">
                  <c:v>3599.3525042021306</c:v>
                </c:pt>
                <c:pt idx="92">
                  <c:v>3599.3525042021306</c:v>
                </c:pt>
                <c:pt idx="93">
                  <c:v>3599.3525042021306</c:v>
                </c:pt>
                <c:pt idx="94">
                  <c:v>3599.3525042021306</c:v>
                </c:pt>
                <c:pt idx="95">
                  <c:v>3599.3525042021306</c:v>
                </c:pt>
                <c:pt idx="96">
                  <c:v>3599.3525042021306</c:v>
                </c:pt>
                <c:pt idx="97">
                  <c:v>3599.3525042021306</c:v>
                </c:pt>
                <c:pt idx="98">
                  <c:v>3599.3525042021306</c:v>
                </c:pt>
                <c:pt idx="99">
                  <c:v>3599.3525042021306</c:v>
                </c:pt>
                <c:pt idx="100">
                  <c:v>3599.3525042021306</c:v>
                </c:pt>
                <c:pt idx="101">
                  <c:v>3599.3525042021306</c:v>
                </c:pt>
                <c:pt idx="102">
                  <c:v>3599.3525042021306</c:v>
                </c:pt>
                <c:pt idx="103">
                  <c:v>3599.3525042021306</c:v>
                </c:pt>
                <c:pt idx="104">
                  <c:v>3599.3525042021306</c:v>
                </c:pt>
                <c:pt idx="105">
                  <c:v>3599.3525042021306</c:v>
                </c:pt>
                <c:pt idx="106">
                  <c:v>3599.3525042021306</c:v>
                </c:pt>
                <c:pt idx="107">
                  <c:v>3599.3525042021306</c:v>
                </c:pt>
                <c:pt idx="108">
                  <c:v>3599.3525042021306</c:v>
                </c:pt>
                <c:pt idx="109">
                  <c:v>3599.3525042021306</c:v>
                </c:pt>
                <c:pt idx="110">
                  <c:v>3599.3525042021306</c:v>
                </c:pt>
                <c:pt idx="111">
                  <c:v>3599.3525042021306</c:v>
                </c:pt>
                <c:pt idx="112">
                  <c:v>3599.3525042021306</c:v>
                </c:pt>
                <c:pt idx="113">
                  <c:v>3599.3525042021306</c:v>
                </c:pt>
                <c:pt idx="114">
                  <c:v>3599.3525042021306</c:v>
                </c:pt>
                <c:pt idx="115">
                  <c:v>3599.3525042021306</c:v>
                </c:pt>
                <c:pt idx="116">
                  <c:v>3599.3525042021306</c:v>
                </c:pt>
                <c:pt idx="117">
                  <c:v>3599.3525042021306</c:v>
                </c:pt>
                <c:pt idx="118">
                  <c:v>3599.3525042021306</c:v>
                </c:pt>
                <c:pt idx="119">
                  <c:v>3599.3525042021306</c:v>
                </c:pt>
                <c:pt idx="120">
                  <c:v>3599.3525042021306</c:v>
                </c:pt>
                <c:pt idx="121">
                  <c:v>3599.3525042021306</c:v>
                </c:pt>
                <c:pt idx="122">
                  <c:v>3599.3525042021306</c:v>
                </c:pt>
                <c:pt idx="123">
                  <c:v>3599.3525042021306</c:v>
                </c:pt>
                <c:pt idx="124">
                  <c:v>3599.3525042021306</c:v>
                </c:pt>
                <c:pt idx="125">
                  <c:v>3599.3525042021306</c:v>
                </c:pt>
                <c:pt idx="126">
                  <c:v>3599.3525042021306</c:v>
                </c:pt>
                <c:pt idx="127">
                  <c:v>3599.3525042021306</c:v>
                </c:pt>
                <c:pt idx="128">
                  <c:v>3599.3525042021306</c:v>
                </c:pt>
                <c:pt idx="129">
                  <c:v>3599.3525042021306</c:v>
                </c:pt>
                <c:pt idx="130">
                  <c:v>3599.3525042021306</c:v>
                </c:pt>
                <c:pt idx="131">
                  <c:v>3599.3525042021306</c:v>
                </c:pt>
                <c:pt idx="132">
                  <c:v>3599.3525042021306</c:v>
                </c:pt>
                <c:pt idx="133">
                  <c:v>3599.3525042021306</c:v>
                </c:pt>
                <c:pt idx="134">
                  <c:v>3599.3525042021306</c:v>
                </c:pt>
                <c:pt idx="135">
                  <c:v>3599.3525042021306</c:v>
                </c:pt>
                <c:pt idx="136">
                  <c:v>3599.3525042021306</c:v>
                </c:pt>
                <c:pt idx="137">
                  <c:v>3599.3525042021306</c:v>
                </c:pt>
                <c:pt idx="138">
                  <c:v>3599.3525042021306</c:v>
                </c:pt>
                <c:pt idx="139">
                  <c:v>3599.3525042021306</c:v>
                </c:pt>
                <c:pt idx="140">
                  <c:v>3599.3525042021306</c:v>
                </c:pt>
                <c:pt idx="141">
                  <c:v>3599.3525042021306</c:v>
                </c:pt>
                <c:pt idx="142">
                  <c:v>3599.3525042021306</c:v>
                </c:pt>
                <c:pt idx="143">
                  <c:v>3599.3525042021306</c:v>
                </c:pt>
                <c:pt idx="144">
                  <c:v>3599.3525042021306</c:v>
                </c:pt>
                <c:pt idx="145">
                  <c:v>3599.3525042021306</c:v>
                </c:pt>
                <c:pt idx="146">
                  <c:v>3599.3525042021306</c:v>
                </c:pt>
                <c:pt idx="147">
                  <c:v>3599.3525042021306</c:v>
                </c:pt>
                <c:pt idx="148">
                  <c:v>3599.3525042021306</c:v>
                </c:pt>
                <c:pt idx="149">
                  <c:v>3599.3525042021306</c:v>
                </c:pt>
                <c:pt idx="150">
                  <c:v>3599.3525042021306</c:v>
                </c:pt>
                <c:pt idx="151">
                  <c:v>3599.3525042021306</c:v>
                </c:pt>
                <c:pt idx="152">
                  <c:v>3599.3525042021306</c:v>
                </c:pt>
                <c:pt idx="153">
                  <c:v>3599.3525042021306</c:v>
                </c:pt>
                <c:pt idx="154">
                  <c:v>3599.3525042021306</c:v>
                </c:pt>
                <c:pt idx="155">
                  <c:v>3599.3525042021306</c:v>
                </c:pt>
                <c:pt idx="156">
                  <c:v>3599.3525042021306</c:v>
                </c:pt>
                <c:pt idx="157">
                  <c:v>3599.3525042021306</c:v>
                </c:pt>
                <c:pt idx="158">
                  <c:v>3599.3525042021306</c:v>
                </c:pt>
                <c:pt idx="159">
                  <c:v>3599.3525042021306</c:v>
                </c:pt>
                <c:pt idx="160">
                  <c:v>3599.3525042021306</c:v>
                </c:pt>
                <c:pt idx="161">
                  <c:v>3599.3525042021306</c:v>
                </c:pt>
                <c:pt idx="162">
                  <c:v>3599.3525042021306</c:v>
                </c:pt>
                <c:pt idx="163">
                  <c:v>3599.3525042021306</c:v>
                </c:pt>
                <c:pt idx="164">
                  <c:v>3599.3525042021306</c:v>
                </c:pt>
                <c:pt idx="165">
                  <c:v>3599.3525042021306</c:v>
                </c:pt>
                <c:pt idx="166">
                  <c:v>3599.3525042021306</c:v>
                </c:pt>
                <c:pt idx="167">
                  <c:v>3599.3525042021306</c:v>
                </c:pt>
                <c:pt idx="168">
                  <c:v>3599.3525042021306</c:v>
                </c:pt>
                <c:pt idx="169">
                  <c:v>3599.3525042021306</c:v>
                </c:pt>
                <c:pt idx="170">
                  <c:v>3599.3525042021306</c:v>
                </c:pt>
                <c:pt idx="171">
                  <c:v>3599.3525042021306</c:v>
                </c:pt>
                <c:pt idx="172">
                  <c:v>3599.3525042021306</c:v>
                </c:pt>
                <c:pt idx="173">
                  <c:v>3599.3525042021306</c:v>
                </c:pt>
                <c:pt idx="174">
                  <c:v>3599.3525042021306</c:v>
                </c:pt>
                <c:pt idx="175">
                  <c:v>3599.3525042021306</c:v>
                </c:pt>
                <c:pt idx="176">
                  <c:v>3599.3525042021306</c:v>
                </c:pt>
                <c:pt idx="177">
                  <c:v>3599.3525042021306</c:v>
                </c:pt>
                <c:pt idx="178">
                  <c:v>3599.3525042021306</c:v>
                </c:pt>
                <c:pt idx="179">
                  <c:v>3599.3525042021306</c:v>
                </c:pt>
                <c:pt idx="180">
                  <c:v>3599.3525042021306</c:v>
                </c:pt>
                <c:pt idx="181">
                  <c:v>3599.3525042021306</c:v>
                </c:pt>
                <c:pt idx="182">
                  <c:v>3599.3525042021306</c:v>
                </c:pt>
                <c:pt idx="183">
                  <c:v>3599.3525042021306</c:v>
                </c:pt>
                <c:pt idx="184">
                  <c:v>3599.3525042021306</c:v>
                </c:pt>
                <c:pt idx="185">
                  <c:v>3599.3525042021306</c:v>
                </c:pt>
                <c:pt idx="186">
                  <c:v>3599.3525042021306</c:v>
                </c:pt>
                <c:pt idx="187">
                  <c:v>3599.3525042021306</c:v>
                </c:pt>
                <c:pt idx="188">
                  <c:v>3599.3525042021306</c:v>
                </c:pt>
                <c:pt idx="189">
                  <c:v>3599.3525042021306</c:v>
                </c:pt>
                <c:pt idx="190">
                  <c:v>3599.3525042021306</c:v>
                </c:pt>
                <c:pt idx="191">
                  <c:v>3599.3525042021306</c:v>
                </c:pt>
                <c:pt idx="192">
                  <c:v>3599.3525042021306</c:v>
                </c:pt>
                <c:pt idx="193">
                  <c:v>3599.3525042021306</c:v>
                </c:pt>
                <c:pt idx="194">
                  <c:v>3599.3525042021306</c:v>
                </c:pt>
                <c:pt idx="195">
                  <c:v>3599.3525042021306</c:v>
                </c:pt>
                <c:pt idx="196">
                  <c:v>3599.3525042021306</c:v>
                </c:pt>
                <c:pt idx="197">
                  <c:v>3599.3525042021306</c:v>
                </c:pt>
                <c:pt idx="198">
                  <c:v>3599.3525042021306</c:v>
                </c:pt>
                <c:pt idx="199">
                  <c:v>3599.3525042021306</c:v>
                </c:pt>
                <c:pt idx="200">
                  <c:v>3599.3525042021306</c:v>
                </c:pt>
                <c:pt idx="201">
                  <c:v>3599.3525042021306</c:v>
                </c:pt>
                <c:pt idx="202">
                  <c:v>3599.3525042021306</c:v>
                </c:pt>
                <c:pt idx="203">
                  <c:v>3599.3525042021306</c:v>
                </c:pt>
                <c:pt idx="204">
                  <c:v>3599.3525042021306</c:v>
                </c:pt>
                <c:pt idx="205">
                  <c:v>3599.3525042021306</c:v>
                </c:pt>
                <c:pt idx="206">
                  <c:v>3599.3525042021306</c:v>
                </c:pt>
                <c:pt idx="207">
                  <c:v>3599.3525042021306</c:v>
                </c:pt>
                <c:pt idx="208">
                  <c:v>3599.3525042021306</c:v>
                </c:pt>
                <c:pt idx="209">
                  <c:v>3599.3525042021306</c:v>
                </c:pt>
                <c:pt idx="210">
                  <c:v>3599.3525042021306</c:v>
                </c:pt>
                <c:pt idx="211">
                  <c:v>3599.3525042021306</c:v>
                </c:pt>
                <c:pt idx="212">
                  <c:v>3599.3525042021306</c:v>
                </c:pt>
                <c:pt idx="213">
                  <c:v>3599.3525042021306</c:v>
                </c:pt>
                <c:pt idx="214">
                  <c:v>3599.3525042021306</c:v>
                </c:pt>
                <c:pt idx="215">
                  <c:v>3599.3525042021306</c:v>
                </c:pt>
                <c:pt idx="216">
                  <c:v>3599.3525042021306</c:v>
                </c:pt>
                <c:pt idx="217">
                  <c:v>3599.3525042021306</c:v>
                </c:pt>
                <c:pt idx="218">
                  <c:v>3599.3525042021306</c:v>
                </c:pt>
                <c:pt idx="219">
                  <c:v>3599.3525042021306</c:v>
                </c:pt>
                <c:pt idx="220">
                  <c:v>3599.3525042021306</c:v>
                </c:pt>
                <c:pt idx="221">
                  <c:v>3599.3525042021306</c:v>
                </c:pt>
                <c:pt idx="222">
                  <c:v>3599.3525042021306</c:v>
                </c:pt>
                <c:pt idx="223">
                  <c:v>3599.3525042021306</c:v>
                </c:pt>
                <c:pt idx="224">
                  <c:v>3599.3525042021306</c:v>
                </c:pt>
                <c:pt idx="225">
                  <c:v>3599.3525042021306</c:v>
                </c:pt>
                <c:pt idx="226">
                  <c:v>3599.3525042021306</c:v>
                </c:pt>
                <c:pt idx="227">
                  <c:v>3599.3525042021306</c:v>
                </c:pt>
                <c:pt idx="228">
                  <c:v>3599.3525042021306</c:v>
                </c:pt>
                <c:pt idx="229">
                  <c:v>3599.3525042021306</c:v>
                </c:pt>
                <c:pt idx="230">
                  <c:v>3599.3525042021306</c:v>
                </c:pt>
                <c:pt idx="231">
                  <c:v>3599.3525042021306</c:v>
                </c:pt>
                <c:pt idx="232">
                  <c:v>3599.3525042021306</c:v>
                </c:pt>
                <c:pt idx="233">
                  <c:v>3599.3525042021306</c:v>
                </c:pt>
                <c:pt idx="234">
                  <c:v>3599.3525042021306</c:v>
                </c:pt>
                <c:pt idx="235">
                  <c:v>3599.3525042021306</c:v>
                </c:pt>
                <c:pt idx="236">
                  <c:v>3599.3525042021306</c:v>
                </c:pt>
                <c:pt idx="237">
                  <c:v>3599.3525042021306</c:v>
                </c:pt>
                <c:pt idx="238">
                  <c:v>3599.3525042021306</c:v>
                </c:pt>
                <c:pt idx="239">
                  <c:v>3599.3525042021306</c:v>
                </c:pt>
                <c:pt idx="240">
                  <c:v>3599.3525042021306</c:v>
                </c:pt>
                <c:pt idx="241">
                  <c:v>3599.3525042021306</c:v>
                </c:pt>
                <c:pt idx="242">
                  <c:v>3599.3525042021306</c:v>
                </c:pt>
                <c:pt idx="243">
                  <c:v>3599.3525042021306</c:v>
                </c:pt>
                <c:pt idx="244">
                  <c:v>3599.3525042021306</c:v>
                </c:pt>
                <c:pt idx="245">
                  <c:v>3599.3525042021306</c:v>
                </c:pt>
                <c:pt idx="246">
                  <c:v>3599.3525042021306</c:v>
                </c:pt>
                <c:pt idx="247">
                  <c:v>3599.3525042021306</c:v>
                </c:pt>
                <c:pt idx="248">
                  <c:v>3599.3525042021306</c:v>
                </c:pt>
                <c:pt idx="249">
                  <c:v>3599.3525042021306</c:v>
                </c:pt>
                <c:pt idx="250">
                  <c:v>3599.3525042021306</c:v>
                </c:pt>
                <c:pt idx="251">
                  <c:v>3599.3525042021306</c:v>
                </c:pt>
                <c:pt idx="252">
                  <c:v>3599.3525042021306</c:v>
                </c:pt>
                <c:pt idx="253">
                  <c:v>3599.3525042021306</c:v>
                </c:pt>
                <c:pt idx="254">
                  <c:v>3599.3525042021306</c:v>
                </c:pt>
                <c:pt idx="255">
                  <c:v>3599.3525042021306</c:v>
                </c:pt>
                <c:pt idx="256">
                  <c:v>3599.3525042021306</c:v>
                </c:pt>
                <c:pt idx="257">
                  <c:v>3599.3525042021306</c:v>
                </c:pt>
                <c:pt idx="258">
                  <c:v>3599.3525042021306</c:v>
                </c:pt>
                <c:pt idx="259">
                  <c:v>3599.3525042021306</c:v>
                </c:pt>
                <c:pt idx="260">
                  <c:v>3599.3525042021306</c:v>
                </c:pt>
                <c:pt idx="261">
                  <c:v>3599.3525042021306</c:v>
                </c:pt>
                <c:pt idx="262">
                  <c:v>3599.3525042021306</c:v>
                </c:pt>
                <c:pt idx="263">
                  <c:v>3599.3525042021306</c:v>
                </c:pt>
                <c:pt idx="264">
                  <c:v>3599.3525042021306</c:v>
                </c:pt>
                <c:pt idx="265">
                  <c:v>3599.3525042021306</c:v>
                </c:pt>
                <c:pt idx="266">
                  <c:v>3599.3525042021306</c:v>
                </c:pt>
                <c:pt idx="267">
                  <c:v>3599.3525042021306</c:v>
                </c:pt>
                <c:pt idx="268">
                  <c:v>3599.3525042021306</c:v>
                </c:pt>
                <c:pt idx="269">
                  <c:v>3599.3525042021306</c:v>
                </c:pt>
                <c:pt idx="270">
                  <c:v>3599.3525042021306</c:v>
                </c:pt>
                <c:pt idx="271">
                  <c:v>3599.3525042021306</c:v>
                </c:pt>
                <c:pt idx="272">
                  <c:v>3599.3525042021306</c:v>
                </c:pt>
                <c:pt idx="273">
                  <c:v>3599.3525042021306</c:v>
                </c:pt>
                <c:pt idx="274">
                  <c:v>3599.3525042021306</c:v>
                </c:pt>
                <c:pt idx="275">
                  <c:v>3599.3525042021306</c:v>
                </c:pt>
                <c:pt idx="276">
                  <c:v>3599.3525042021306</c:v>
                </c:pt>
                <c:pt idx="277">
                  <c:v>3599.3525042021306</c:v>
                </c:pt>
                <c:pt idx="278">
                  <c:v>3599.3525042021306</c:v>
                </c:pt>
                <c:pt idx="279">
                  <c:v>3599.3525042021306</c:v>
                </c:pt>
                <c:pt idx="280">
                  <c:v>3599.3525042021306</c:v>
                </c:pt>
                <c:pt idx="281">
                  <c:v>3599.3525042021306</c:v>
                </c:pt>
                <c:pt idx="282">
                  <c:v>3599.3525042021306</c:v>
                </c:pt>
                <c:pt idx="283">
                  <c:v>3599.3525042021306</c:v>
                </c:pt>
                <c:pt idx="284">
                  <c:v>3599.3525042021306</c:v>
                </c:pt>
                <c:pt idx="285">
                  <c:v>3599.3525042021306</c:v>
                </c:pt>
                <c:pt idx="286">
                  <c:v>3599.3525042021306</c:v>
                </c:pt>
                <c:pt idx="287">
                  <c:v>3599.3525042021306</c:v>
                </c:pt>
                <c:pt idx="288">
                  <c:v>3599.3525042021306</c:v>
                </c:pt>
                <c:pt idx="289">
                  <c:v>3599.3525042021306</c:v>
                </c:pt>
                <c:pt idx="290">
                  <c:v>3599.3525042021306</c:v>
                </c:pt>
                <c:pt idx="291">
                  <c:v>3599.3525042021306</c:v>
                </c:pt>
                <c:pt idx="292">
                  <c:v>3599.3525042021306</c:v>
                </c:pt>
                <c:pt idx="293">
                  <c:v>3599.3525042021306</c:v>
                </c:pt>
                <c:pt idx="294">
                  <c:v>3599.3525042021306</c:v>
                </c:pt>
                <c:pt idx="295">
                  <c:v>3599.3525042021306</c:v>
                </c:pt>
                <c:pt idx="296">
                  <c:v>3599.3525042021306</c:v>
                </c:pt>
                <c:pt idx="297">
                  <c:v>3599.3525042021306</c:v>
                </c:pt>
                <c:pt idx="298">
                  <c:v>3599.3525042021306</c:v>
                </c:pt>
                <c:pt idx="299">
                  <c:v>3599.3525042021306</c:v>
                </c:pt>
                <c:pt idx="300">
                  <c:v>3599.3525042021306</c:v>
                </c:pt>
                <c:pt idx="301">
                  <c:v>3599.3525042021306</c:v>
                </c:pt>
                <c:pt idx="302">
                  <c:v>3599.3525042021306</c:v>
                </c:pt>
                <c:pt idx="303">
                  <c:v>3599.3525042021306</c:v>
                </c:pt>
                <c:pt idx="304">
                  <c:v>3599.3525042021306</c:v>
                </c:pt>
                <c:pt idx="305">
                  <c:v>3599.3525042021306</c:v>
                </c:pt>
                <c:pt idx="306">
                  <c:v>3599.3525042021306</c:v>
                </c:pt>
                <c:pt idx="307">
                  <c:v>3599.3525042021306</c:v>
                </c:pt>
                <c:pt idx="308">
                  <c:v>3599.3525042021306</c:v>
                </c:pt>
                <c:pt idx="309">
                  <c:v>3599.3525042021306</c:v>
                </c:pt>
                <c:pt idx="310">
                  <c:v>3599.3525042021306</c:v>
                </c:pt>
                <c:pt idx="311">
                  <c:v>3599.3525042021306</c:v>
                </c:pt>
                <c:pt idx="312">
                  <c:v>3599.3525042021306</c:v>
                </c:pt>
                <c:pt idx="313">
                  <c:v>3599.3525042021306</c:v>
                </c:pt>
                <c:pt idx="314">
                  <c:v>3599.3525042021306</c:v>
                </c:pt>
                <c:pt idx="315">
                  <c:v>3599.3525042021306</c:v>
                </c:pt>
                <c:pt idx="316">
                  <c:v>3599.3525042021306</c:v>
                </c:pt>
                <c:pt idx="317">
                  <c:v>3599.3525042021306</c:v>
                </c:pt>
                <c:pt idx="318">
                  <c:v>3599.3525042021306</c:v>
                </c:pt>
                <c:pt idx="319">
                  <c:v>3599.3525042021306</c:v>
                </c:pt>
                <c:pt idx="320">
                  <c:v>3599.3525042021306</c:v>
                </c:pt>
                <c:pt idx="321">
                  <c:v>3599.3525042021306</c:v>
                </c:pt>
                <c:pt idx="322">
                  <c:v>3599.3525042021306</c:v>
                </c:pt>
                <c:pt idx="323">
                  <c:v>3599.3525042021306</c:v>
                </c:pt>
                <c:pt idx="324">
                  <c:v>3599.3525042021306</c:v>
                </c:pt>
                <c:pt idx="325">
                  <c:v>3599.3525042021306</c:v>
                </c:pt>
                <c:pt idx="326">
                  <c:v>3599.3525042021306</c:v>
                </c:pt>
                <c:pt idx="327">
                  <c:v>3599.3525042021306</c:v>
                </c:pt>
                <c:pt idx="328">
                  <c:v>3599.3525042021306</c:v>
                </c:pt>
                <c:pt idx="329">
                  <c:v>3599.3525042021306</c:v>
                </c:pt>
                <c:pt idx="330">
                  <c:v>3599.3525042021306</c:v>
                </c:pt>
                <c:pt idx="331">
                  <c:v>3599.3525042021306</c:v>
                </c:pt>
                <c:pt idx="332">
                  <c:v>3599.3525042021306</c:v>
                </c:pt>
                <c:pt idx="333">
                  <c:v>3599.3525042021306</c:v>
                </c:pt>
                <c:pt idx="334">
                  <c:v>3599.3525042021306</c:v>
                </c:pt>
                <c:pt idx="335">
                  <c:v>3599.3525042021306</c:v>
                </c:pt>
                <c:pt idx="336">
                  <c:v>3599.3525042021306</c:v>
                </c:pt>
                <c:pt idx="337">
                  <c:v>3599.3525042021306</c:v>
                </c:pt>
                <c:pt idx="338">
                  <c:v>3599.3525042021306</c:v>
                </c:pt>
                <c:pt idx="339">
                  <c:v>3599.3525042021306</c:v>
                </c:pt>
                <c:pt idx="340">
                  <c:v>3599.3525042021306</c:v>
                </c:pt>
                <c:pt idx="341">
                  <c:v>3599.3525042021306</c:v>
                </c:pt>
                <c:pt idx="342">
                  <c:v>3599.3525042021306</c:v>
                </c:pt>
                <c:pt idx="343">
                  <c:v>3599.3525042021306</c:v>
                </c:pt>
                <c:pt idx="344">
                  <c:v>3599.3525042021306</c:v>
                </c:pt>
                <c:pt idx="345">
                  <c:v>3599.3525042021306</c:v>
                </c:pt>
                <c:pt idx="346">
                  <c:v>3599.3525042021306</c:v>
                </c:pt>
                <c:pt idx="347">
                  <c:v>3599.3525042021306</c:v>
                </c:pt>
                <c:pt idx="348">
                  <c:v>3599.3525042021306</c:v>
                </c:pt>
                <c:pt idx="349">
                  <c:v>3599.3525042021306</c:v>
                </c:pt>
                <c:pt idx="350">
                  <c:v>3599.3525042021306</c:v>
                </c:pt>
                <c:pt idx="351">
                  <c:v>3599.3525042021306</c:v>
                </c:pt>
                <c:pt idx="352">
                  <c:v>3599.3525042021306</c:v>
                </c:pt>
                <c:pt idx="353">
                  <c:v>3599.3525042021306</c:v>
                </c:pt>
                <c:pt idx="354">
                  <c:v>3599.3525042021306</c:v>
                </c:pt>
                <c:pt idx="355">
                  <c:v>3599.3525042021306</c:v>
                </c:pt>
                <c:pt idx="356">
                  <c:v>3599.3525042021306</c:v>
                </c:pt>
                <c:pt idx="357">
                  <c:v>3599.3525042021306</c:v>
                </c:pt>
                <c:pt idx="358">
                  <c:v>3599.3525042021306</c:v>
                </c:pt>
                <c:pt idx="359">
                  <c:v>3599.3525042021306</c:v>
                </c:pt>
              </c:numCache>
            </c:numRef>
          </c:val>
          <c:smooth val="0"/>
          <c:extLst>
            <c:ext xmlns:c16="http://schemas.microsoft.com/office/drawing/2014/chart" uri="{C3380CC4-5D6E-409C-BE32-E72D297353CC}">
              <c16:uniqueId val="{00000000-CB3B-4410-9AB5-5D65FA74DFCC}"/>
            </c:ext>
          </c:extLst>
        </c:ser>
        <c:ser>
          <c:idx val="0"/>
          <c:order val="1"/>
          <c:tx>
            <c:strRef>
              <c:f>[2]Data!$F$8</c:f>
              <c:strCache>
                <c:ptCount val="1"/>
                <c:pt idx="0">
                  <c:v>Scheduled Principal</c:v>
                </c:pt>
              </c:strCache>
            </c:strRef>
          </c:tx>
          <c:spPr>
            <a:ln w="57150"/>
          </c:spPr>
          <c:marker>
            <c:symbol val="none"/>
          </c:marker>
          <c:val>
            <c:numRef>
              <c:f>[2]Data!$F$9:$F$368</c:f>
              <c:numCache>
                <c:formatCode>General</c:formatCode>
                <c:ptCount val="360"/>
                <c:pt idx="0">
                  <c:v>349.3525042021306</c:v>
                </c:pt>
                <c:pt idx="1">
                  <c:v>351.6232954794441</c:v>
                </c:pt>
                <c:pt idx="2">
                  <c:v>353.90884690006078</c:v>
                </c:pt>
                <c:pt idx="3">
                  <c:v>356.20925440491101</c:v>
                </c:pt>
                <c:pt idx="4">
                  <c:v>358.52461455854291</c:v>
                </c:pt>
                <c:pt idx="5">
                  <c:v>360.85502455317373</c:v>
                </c:pt>
                <c:pt idx="6">
                  <c:v>363.2005822127694</c:v>
                </c:pt>
                <c:pt idx="7">
                  <c:v>365.56138599715268</c:v>
                </c:pt>
                <c:pt idx="8">
                  <c:v>367.93753500613366</c:v>
                </c:pt>
                <c:pt idx="9">
                  <c:v>370.32912898367431</c:v>
                </c:pt>
                <c:pt idx="10">
                  <c:v>372.73626832206764</c:v>
                </c:pt>
                <c:pt idx="11">
                  <c:v>375.15905406616093</c:v>
                </c:pt>
                <c:pt idx="12">
                  <c:v>377.59758791759123</c:v>
                </c:pt>
                <c:pt idx="13">
                  <c:v>380.05197223905543</c:v>
                </c:pt>
                <c:pt idx="14">
                  <c:v>382.52231005860904</c:v>
                </c:pt>
                <c:pt idx="15">
                  <c:v>385.00870507398986</c:v>
                </c:pt>
                <c:pt idx="16">
                  <c:v>387.51126165697042</c:v>
                </c:pt>
                <c:pt idx="17">
                  <c:v>390.03008485774126</c:v>
                </c:pt>
                <c:pt idx="18">
                  <c:v>392.56528040931607</c:v>
                </c:pt>
                <c:pt idx="19">
                  <c:v>395.11695473197688</c:v>
                </c:pt>
                <c:pt idx="20">
                  <c:v>397.6852149377346</c:v>
                </c:pt>
                <c:pt idx="21">
                  <c:v>400.2701688348302</c:v>
                </c:pt>
                <c:pt idx="22">
                  <c:v>402.87192493225666</c:v>
                </c:pt>
                <c:pt idx="23">
                  <c:v>405.49059244431601</c:v>
                </c:pt>
                <c:pt idx="24">
                  <c:v>408.12628129520363</c:v>
                </c:pt>
                <c:pt idx="25">
                  <c:v>410.77910212362303</c:v>
                </c:pt>
                <c:pt idx="26">
                  <c:v>413.44916628742658</c:v>
                </c:pt>
                <c:pt idx="27">
                  <c:v>416.13658586829479</c:v>
                </c:pt>
                <c:pt idx="28">
                  <c:v>418.84147367643891</c:v>
                </c:pt>
                <c:pt idx="29">
                  <c:v>421.56394325533529</c:v>
                </c:pt>
                <c:pt idx="30">
                  <c:v>424.30410888649567</c:v>
                </c:pt>
                <c:pt idx="31">
                  <c:v>427.06208559425795</c:v>
                </c:pt>
                <c:pt idx="32">
                  <c:v>429.83798915062016</c:v>
                </c:pt>
                <c:pt idx="33">
                  <c:v>432.63193608009942</c:v>
                </c:pt>
                <c:pt idx="34">
                  <c:v>435.44404366462049</c:v>
                </c:pt>
                <c:pt idx="35">
                  <c:v>438.27442994844023</c:v>
                </c:pt>
                <c:pt idx="36">
                  <c:v>441.12321374310523</c:v>
                </c:pt>
                <c:pt idx="37">
                  <c:v>443.99051463243495</c:v>
                </c:pt>
                <c:pt idx="38">
                  <c:v>446.8764529775458</c:v>
                </c:pt>
                <c:pt idx="39">
                  <c:v>449.78114992189967</c:v>
                </c:pt>
                <c:pt idx="40">
                  <c:v>452.70472739639172</c:v>
                </c:pt>
                <c:pt idx="41">
                  <c:v>455.64730812446851</c:v>
                </c:pt>
                <c:pt idx="42">
                  <c:v>458.60901562727759</c:v>
                </c:pt>
                <c:pt idx="43">
                  <c:v>461.58997422885477</c:v>
                </c:pt>
                <c:pt idx="44">
                  <c:v>464.59030906134285</c:v>
                </c:pt>
                <c:pt idx="45">
                  <c:v>467.61014607024163</c:v>
                </c:pt>
                <c:pt idx="46">
                  <c:v>470.649612019698</c:v>
                </c:pt>
                <c:pt idx="47">
                  <c:v>473.70883449782605</c:v>
                </c:pt>
                <c:pt idx="48">
                  <c:v>476.78794192206169</c:v>
                </c:pt>
                <c:pt idx="49">
                  <c:v>479.88706354455553</c:v>
                </c:pt>
                <c:pt idx="50">
                  <c:v>483.0063294575948</c:v>
                </c:pt>
                <c:pt idx="51">
                  <c:v>486.14587059906899</c:v>
                </c:pt>
                <c:pt idx="52">
                  <c:v>489.30581875796315</c:v>
                </c:pt>
                <c:pt idx="53">
                  <c:v>492.48630657988997</c:v>
                </c:pt>
                <c:pt idx="54">
                  <c:v>495.68746757265944</c:v>
                </c:pt>
                <c:pt idx="55">
                  <c:v>498.90943611188231</c:v>
                </c:pt>
                <c:pt idx="56">
                  <c:v>502.15234744660893</c:v>
                </c:pt>
                <c:pt idx="57">
                  <c:v>505.41633770501176</c:v>
                </c:pt>
                <c:pt idx="58">
                  <c:v>508.70154390009429</c:v>
                </c:pt>
                <c:pt idx="59">
                  <c:v>512.00810393544498</c:v>
                </c:pt>
                <c:pt idx="60">
                  <c:v>515.33615661102522</c:v>
                </c:pt>
                <c:pt idx="61">
                  <c:v>518.68584162899697</c:v>
                </c:pt>
                <c:pt idx="62">
                  <c:v>522.05729959958535</c:v>
                </c:pt>
                <c:pt idx="63">
                  <c:v>525.45067204698262</c:v>
                </c:pt>
                <c:pt idx="64">
                  <c:v>528.86610141528809</c:v>
                </c:pt>
                <c:pt idx="65">
                  <c:v>532.30373107448759</c:v>
                </c:pt>
                <c:pt idx="66">
                  <c:v>535.76370532647161</c:v>
                </c:pt>
                <c:pt idx="67">
                  <c:v>539.24616941109389</c:v>
                </c:pt>
                <c:pt idx="68">
                  <c:v>542.75126951226594</c:v>
                </c:pt>
                <c:pt idx="69">
                  <c:v>546.27915276409567</c:v>
                </c:pt>
                <c:pt idx="70">
                  <c:v>549.82996725706289</c:v>
                </c:pt>
                <c:pt idx="71">
                  <c:v>553.40386204423339</c:v>
                </c:pt>
                <c:pt idx="72">
                  <c:v>557.0009871475213</c:v>
                </c:pt>
                <c:pt idx="73">
                  <c:v>560.62149356398004</c:v>
                </c:pt>
                <c:pt idx="74">
                  <c:v>564.26553327214515</c:v>
                </c:pt>
                <c:pt idx="75">
                  <c:v>567.93325923841439</c:v>
                </c:pt>
                <c:pt idx="76">
                  <c:v>571.62482542346424</c:v>
                </c:pt>
                <c:pt idx="77">
                  <c:v>575.34038678871639</c:v>
                </c:pt>
                <c:pt idx="78">
                  <c:v>579.08009930284334</c:v>
                </c:pt>
                <c:pt idx="79">
                  <c:v>582.8441199483118</c:v>
                </c:pt>
                <c:pt idx="80">
                  <c:v>586.63260672797605</c:v>
                </c:pt>
                <c:pt idx="81">
                  <c:v>590.44571867170816</c:v>
                </c:pt>
                <c:pt idx="82">
                  <c:v>594.28361584307459</c:v>
                </c:pt>
                <c:pt idx="83">
                  <c:v>598.14645934605414</c:v>
                </c:pt>
                <c:pt idx="84">
                  <c:v>602.03441133180422</c:v>
                </c:pt>
                <c:pt idx="85">
                  <c:v>605.94763500546014</c:v>
                </c:pt>
                <c:pt idx="86">
                  <c:v>609.88629463299594</c:v>
                </c:pt>
                <c:pt idx="87">
                  <c:v>613.85055554811015</c:v>
                </c:pt>
                <c:pt idx="88">
                  <c:v>617.84058415917298</c:v>
                </c:pt>
                <c:pt idx="89">
                  <c:v>621.85654795620803</c:v>
                </c:pt>
                <c:pt idx="90">
                  <c:v>625.89861551792319</c:v>
                </c:pt>
                <c:pt idx="91">
                  <c:v>629.96695651878963</c:v>
                </c:pt>
                <c:pt idx="92">
                  <c:v>634.06174173616137</c:v>
                </c:pt>
                <c:pt idx="93">
                  <c:v>638.18314305744616</c:v>
                </c:pt>
                <c:pt idx="94">
                  <c:v>642.33133348732008</c:v>
                </c:pt>
                <c:pt idx="95">
                  <c:v>646.50648715498755</c:v>
                </c:pt>
                <c:pt idx="96">
                  <c:v>650.7087793214946</c:v>
                </c:pt>
                <c:pt idx="97">
                  <c:v>654.93838638708485</c:v>
                </c:pt>
                <c:pt idx="98">
                  <c:v>659.19548589860096</c:v>
                </c:pt>
                <c:pt idx="99">
                  <c:v>663.48025655694119</c:v>
                </c:pt>
                <c:pt idx="100">
                  <c:v>667.79287822456172</c:v>
                </c:pt>
                <c:pt idx="101">
                  <c:v>672.13353193302146</c:v>
                </c:pt>
                <c:pt idx="102">
                  <c:v>676.50239989058582</c:v>
                </c:pt>
                <c:pt idx="103">
                  <c:v>680.89966548987468</c:v>
                </c:pt>
                <c:pt idx="104">
                  <c:v>685.32551331555851</c:v>
                </c:pt>
                <c:pt idx="105">
                  <c:v>689.78012915211002</c:v>
                </c:pt>
                <c:pt idx="106">
                  <c:v>694.26369999159851</c:v>
                </c:pt>
                <c:pt idx="107">
                  <c:v>698.77641404154383</c:v>
                </c:pt>
                <c:pt idx="108">
                  <c:v>703.31846073281349</c:v>
                </c:pt>
                <c:pt idx="109">
                  <c:v>707.89003072757669</c:v>
                </c:pt>
                <c:pt idx="110">
                  <c:v>712.491315927306</c:v>
                </c:pt>
                <c:pt idx="111">
                  <c:v>717.12250948083329</c:v>
                </c:pt>
                <c:pt idx="112">
                  <c:v>721.78380579245913</c:v>
                </c:pt>
                <c:pt idx="113">
                  <c:v>726.47540053011016</c:v>
                </c:pt>
                <c:pt idx="114">
                  <c:v>731.19749063355539</c:v>
                </c:pt>
                <c:pt idx="115">
                  <c:v>735.95027432267398</c:v>
                </c:pt>
                <c:pt idx="116">
                  <c:v>740.73395110577121</c:v>
                </c:pt>
                <c:pt idx="117">
                  <c:v>745.54872178795904</c:v>
                </c:pt>
                <c:pt idx="118">
                  <c:v>750.39478847958071</c:v>
                </c:pt>
                <c:pt idx="119">
                  <c:v>755.27235460469819</c:v>
                </c:pt>
                <c:pt idx="120">
                  <c:v>760.18162490962868</c:v>
                </c:pt>
                <c:pt idx="121">
                  <c:v>765.1228054715416</c:v>
                </c:pt>
                <c:pt idx="122">
                  <c:v>770.09610370710652</c:v>
                </c:pt>
                <c:pt idx="123">
                  <c:v>775.10172838120252</c:v>
                </c:pt>
                <c:pt idx="124">
                  <c:v>780.13988961567975</c:v>
                </c:pt>
                <c:pt idx="125">
                  <c:v>785.21079889818247</c:v>
                </c:pt>
                <c:pt idx="126">
                  <c:v>790.31466909102028</c:v>
                </c:pt>
                <c:pt idx="127">
                  <c:v>795.45171444011157</c:v>
                </c:pt>
                <c:pt idx="128">
                  <c:v>800.62215058397305</c:v>
                </c:pt>
                <c:pt idx="129">
                  <c:v>805.82619456276825</c:v>
                </c:pt>
                <c:pt idx="130">
                  <c:v>811.06406482742659</c:v>
                </c:pt>
                <c:pt idx="131">
                  <c:v>816.33598124880427</c:v>
                </c:pt>
                <c:pt idx="132">
                  <c:v>821.64216512692201</c:v>
                </c:pt>
                <c:pt idx="133">
                  <c:v>826.98283920024733</c:v>
                </c:pt>
                <c:pt idx="134">
                  <c:v>832.35822765504827</c:v>
                </c:pt>
                <c:pt idx="135">
                  <c:v>837.76855613480666</c:v>
                </c:pt>
                <c:pt idx="136">
                  <c:v>843.21405174968277</c:v>
                </c:pt>
                <c:pt idx="137">
                  <c:v>848.69494308605545</c:v>
                </c:pt>
                <c:pt idx="138">
                  <c:v>854.21146021611503</c:v>
                </c:pt>
                <c:pt idx="139">
                  <c:v>859.76383470751944</c:v>
                </c:pt>
                <c:pt idx="140">
                  <c:v>865.35229963311849</c:v>
                </c:pt>
                <c:pt idx="141">
                  <c:v>870.97708958073417</c:v>
                </c:pt>
                <c:pt idx="142">
                  <c:v>876.63844066300862</c:v>
                </c:pt>
                <c:pt idx="143">
                  <c:v>882.33659052731809</c:v>
                </c:pt>
                <c:pt idx="144">
                  <c:v>888.07177836574556</c:v>
                </c:pt>
                <c:pt idx="145">
                  <c:v>893.84424492512335</c:v>
                </c:pt>
                <c:pt idx="146">
                  <c:v>899.65423251713673</c:v>
                </c:pt>
                <c:pt idx="147">
                  <c:v>905.50198502849798</c:v>
                </c:pt>
                <c:pt idx="148">
                  <c:v>911.38774793118318</c:v>
                </c:pt>
                <c:pt idx="149">
                  <c:v>917.31176829273591</c:v>
                </c:pt>
                <c:pt idx="150">
                  <c:v>923.27429478663862</c:v>
                </c:pt>
                <c:pt idx="151">
                  <c:v>929.27557770275143</c:v>
                </c:pt>
                <c:pt idx="152">
                  <c:v>935.31586895781948</c:v>
                </c:pt>
                <c:pt idx="153">
                  <c:v>941.39542210604532</c:v>
                </c:pt>
                <c:pt idx="154">
                  <c:v>947.51449234973461</c:v>
                </c:pt>
                <c:pt idx="155">
                  <c:v>953.67333655000766</c:v>
                </c:pt>
                <c:pt idx="156">
                  <c:v>959.87221323758286</c:v>
                </c:pt>
                <c:pt idx="157">
                  <c:v>966.11138262362692</c:v>
                </c:pt>
                <c:pt idx="158">
                  <c:v>972.39110661068071</c:v>
                </c:pt>
                <c:pt idx="159">
                  <c:v>978.71164880364995</c:v>
                </c:pt>
                <c:pt idx="160">
                  <c:v>985.07327452087384</c:v>
                </c:pt>
                <c:pt idx="161">
                  <c:v>991.47625080525904</c:v>
                </c:pt>
                <c:pt idx="162">
                  <c:v>997.92084643549333</c:v>
                </c:pt>
                <c:pt idx="163">
                  <c:v>1004.4073319373238</c:v>
                </c:pt>
                <c:pt idx="164">
                  <c:v>1010.9359795949167</c:v>
                </c:pt>
                <c:pt idx="165">
                  <c:v>1017.5070634622839</c:v>
                </c:pt>
                <c:pt idx="166">
                  <c:v>1024.1208593747888</c:v>
                </c:pt>
                <c:pt idx="167">
                  <c:v>1030.777644960725</c:v>
                </c:pt>
                <c:pt idx="168">
                  <c:v>1037.4776996529699</c:v>
                </c:pt>
                <c:pt idx="169">
                  <c:v>1044.221304700714</c:v>
                </c:pt>
                <c:pt idx="170">
                  <c:v>1051.0087431812685</c:v>
                </c:pt>
                <c:pt idx="171">
                  <c:v>1057.840300011947</c:v>
                </c:pt>
                <c:pt idx="172">
                  <c:v>1064.7162619620244</c:v>
                </c:pt>
                <c:pt idx="173">
                  <c:v>1071.6369176647777</c:v>
                </c:pt>
                <c:pt idx="174">
                  <c:v>1078.6025576295988</c:v>
                </c:pt>
                <c:pt idx="175">
                  <c:v>1085.6134742541908</c:v>
                </c:pt>
                <c:pt idx="176">
                  <c:v>1092.6699618368434</c:v>
                </c:pt>
                <c:pt idx="177">
                  <c:v>1099.7723165887828</c:v>
                </c:pt>
                <c:pt idx="178">
                  <c:v>1106.92083664661</c:v>
                </c:pt>
                <c:pt idx="179">
                  <c:v>1114.1158220848129</c:v>
                </c:pt>
                <c:pt idx="180">
                  <c:v>1121.3575749283646</c:v>
                </c:pt>
                <c:pt idx="181">
                  <c:v>1128.6463991653991</c:v>
                </c:pt>
                <c:pt idx="182">
                  <c:v>1135.982600759974</c:v>
                </c:pt>
                <c:pt idx="183">
                  <c:v>1143.3664876649136</c:v>
                </c:pt>
                <c:pt idx="184">
                  <c:v>1150.7983698347357</c:v>
                </c:pt>
                <c:pt idx="185">
                  <c:v>1158.2785592386613</c:v>
                </c:pt>
                <c:pt idx="186">
                  <c:v>1165.8073698737126</c:v>
                </c:pt>
                <c:pt idx="187">
                  <c:v>1173.3851177778915</c:v>
                </c:pt>
                <c:pt idx="188">
                  <c:v>1181.0121210434481</c:v>
                </c:pt>
                <c:pt idx="189">
                  <c:v>1188.6886998302302</c:v>
                </c:pt>
                <c:pt idx="190">
                  <c:v>1196.4151763791269</c:v>
                </c:pt>
                <c:pt idx="191">
                  <c:v>1204.1918750255909</c:v>
                </c:pt>
                <c:pt idx="192">
                  <c:v>1212.0191222132571</c:v>
                </c:pt>
                <c:pt idx="193">
                  <c:v>1219.8972465076436</c:v>
                </c:pt>
                <c:pt idx="194">
                  <c:v>1227.8265786099432</c:v>
                </c:pt>
                <c:pt idx="195">
                  <c:v>1235.8074513709075</c:v>
                </c:pt>
                <c:pt idx="196">
                  <c:v>1243.8401998048184</c:v>
                </c:pt>
                <c:pt idx="197">
                  <c:v>1251.9251611035497</c:v>
                </c:pt>
                <c:pt idx="198">
                  <c:v>1260.0626746507232</c:v>
                </c:pt>
                <c:pt idx="199">
                  <c:v>1268.253082035953</c:v>
                </c:pt>
                <c:pt idx="200">
                  <c:v>1276.4967270691864</c:v>
                </c:pt>
                <c:pt idx="201">
                  <c:v>1284.7939557951358</c:v>
                </c:pt>
                <c:pt idx="202">
                  <c:v>1293.1451165078042</c:v>
                </c:pt>
                <c:pt idx="203">
                  <c:v>1301.5505597651054</c:v>
                </c:pt>
                <c:pt idx="204">
                  <c:v>1310.0106384035785</c:v>
                </c:pt>
                <c:pt idx="205">
                  <c:v>1318.5257075532018</c:v>
                </c:pt>
                <c:pt idx="206">
                  <c:v>1327.0961246522975</c:v>
                </c:pt>
                <c:pt idx="207">
                  <c:v>1335.7222494625375</c:v>
                </c:pt>
                <c:pt idx="208">
                  <c:v>1344.4044440840444</c:v>
                </c:pt>
                <c:pt idx="209">
                  <c:v>1353.1430729705903</c:v>
                </c:pt>
                <c:pt idx="210">
                  <c:v>1361.9385029448995</c:v>
                </c:pt>
                <c:pt idx="211">
                  <c:v>1370.791103214041</c:v>
                </c:pt>
                <c:pt idx="212">
                  <c:v>1379.701245384932</c:v>
                </c:pt>
                <c:pt idx="213">
                  <c:v>1388.6693034799346</c:v>
                </c:pt>
                <c:pt idx="214">
                  <c:v>1397.695653952554</c:v>
                </c:pt>
                <c:pt idx="215">
                  <c:v>1406.7806757032458</c:v>
                </c:pt>
                <c:pt idx="216">
                  <c:v>1415.924750095317</c:v>
                </c:pt>
                <c:pt idx="217">
                  <c:v>1425.128260970936</c:v>
                </c:pt>
                <c:pt idx="218">
                  <c:v>1434.3915946672469</c:v>
                </c:pt>
                <c:pt idx="219">
                  <c:v>1443.7151400325838</c:v>
                </c:pt>
                <c:pt idx="220">
                  <c:v>1453.099288442796</c:v>
                </c:pt>
                <c:pt idx="221">
                  <c:v>1462.544433817674</c:v>
                </c:pt>
                <c:pt idx="222">
                  <c:v>1472.0509726374889</c:v>
                </c:pt>
                <c:pt idx="223">
                  <c:v>1481.6193039596328</c:v>
                </c:pt>
                <c:pt idx="224">
                  <c:v>1491.2498294353704</c:v>
                </c:pt>
                <c:pt idx="225">
                  <c:v>1500.9429533267003</c:v>
                </c:pt>
                <c:pt idx="226">
                  <c:v>1510.6990825233238</c:v>
                </c:pt>
                <c:pt idx="227">
                  <c:v>1520.5186265597258</c:v>
                </c:pt>
                <c:pt idx="228">
                  <c:v>1530.4019976323634</c:v>
                </c:pt>
                <c:pt idx="229">
                  <c:v>1540.3496106169741</c:v>
                </c:pt>
                <c:pt idx="230">
                  <c:v>1550.3618830859841</c:v>
                </c:pt>
                <c:pt idx="231">
                  <c:v>1560.4392353260432</c:v>
                </c:pt>
                <c:pt idx="232">
                  <c:v>1570.5820903556621</c:v>
                </c:pt>
                <c:pt idx="233">
                  <c:v>1580.7908739429743</c:v>
                </c:pt>
                <c:pt idx="234">
                  <c:v>1591.0660146236035</c:v>
                </c:pt>
                <c:pt idx="235">
                  <c:v>1601.407943718657</c:v>
                </c:pt>
                <c:pt idx="236">
                  <c:v>1611.8170953528283</c:v>
                </c:pt>
                <c:pt idx="237">
                  <c:v>1622.2939064726213</c:v>
                </c:pt>
                <c:pt idx="238">
                  <c:v>1632.8388168646936</c:v>
                </c:pt>
                <c:pt idx="239">
                  <c:v>1643.4522691743139</c:v>
                </c:pt>
                <c:pt idx="240">
                  <c:v>1654.1347089239473</c:v>
                </c:pt>
                <c:pt idx="241">
                  <c:v>1664.8865845319528</c:v>
                </c:pt>
                <c:pt idx="242">
                  <c:v>1675.7083473314108</c:v>
                </c:pt>
                <c:pt idx="243">
                  <c:v>1686.6004515890647</c:v>
                </c:pt>
                <c:pt idx="244">
                  <c:v>1697.5633545243934</c:v>
                </c:pt>
                <c:pt idx="245">
                  <c:v>1708.5975163288017</c:v>
                </c:pt>
                <c:pt idx="246">
                  <c:v>1719.703400184939</c:v>
                </c:pt>
                <c:pt idx="247">
                  <c:v>1730.8814722861412</c:v>
                </c:pt>
                <c:pt idx="248">
                  <c:v>1742.1322018560008</c:v>
                </c:pt>
                <c:pt idx="249">
                  <c:v>1753.4560611680649</c:v>
                </c:pt>
                <c:pt idx="250">
                  <c:v>1764.8535255656573</c:v>
                </c:pt>
                <c:pt idx="251">
                  <c:v>1776.3250734818337</c:v>
                </c:pt>
                <c:pt idx="252">
                  <c:v>1787.8711864594657</c:v>
                </c:pt>
                <c:pt idx="253">
                  <c:v>1799.4923491714521</c:v>
                </c:pt>
                <c:pt idx="254">
                  <c:v>1811.1890494410666</c:v>
                </c:pt>
                <c:pt idx="255">
                  <c:v>1822.9617782624334</c:v>
                </c:pt>
                <c:pt idx="256">
                  <c:v>1834.8110298211393</c:v>
                </c:pt>
                <c:pt idx="257">
                  <c:v>1846.7373015149765</c:v>
                </c:pt>
                <c:pt idx="258">
                  <c:v>1858.7410939748238</c:v>
                </c:pt>
                <c:pt idx="259">
                  <c:v>1870.8229110856603</c:v>
                </c:pt>
                <c:pt idx="260">
                  <c:v>1882.9832600077173</c:v>
                </c:pt>
                <c:pt idx="261">
                  <c:v>1895.2226511977672</c:v>
                </c:pt>
                <c:pt idx="262">
                  <c:v>1907.5415984305525</c:v>
                </c:pt>
                <c:pt idx="263">
                  <c:v>1919.9406188203513</c:v>
                </c:pt>
                <c:pt idx="264">
                  <c:v>1932.4202328426834</c:v>
                </c:pt>
                <c:pt idx="265">
                  <c:v>1944.9809643561609</c:v>
                </c:pt>
                <c:pt idx="266">
                  <c:v>1957.623340624476</c:v>
                </c:pt>
                <c:pt idx="267">
                  <c:v>1970.3478923385351</c:v>
                </c:pt>
                <c:pt idx="268">
                  <c:v>1983.1551536387356</c:v>
                </c:pt>
                <c:pt idx="269">
                  <c:v>1996.0456621373874</c:v>
                </c:pt>
                <c:pt idx="270">
                  <c:v>2009.0199589412803</c:v>
                </c:pt>
                <c:pt idx="271">
                  <c:v>2022.0785886743984</c:v>
                </c:pt>
                <c:pt idx="272">
                  <c:v>2035.2220995007822</c:v>
                </c:pt>
                <c:pt idx="273">
                  <c:v>2048.4510431475373</c:v>
                </c:pt>
                <c:pt idx="274">
                  <c:v>2061.7659749279965</c:v>
                </c:pt>
                <c:pt idx="275">
                  <c:v>2075.1674537650279</c:v>
                </c:pt>
                <c:pt idx="276">
                  <c:v>2088.6560422145008</c:v>
                </c:pt>
                <c:pt idx="277">
                  <c:v>2102.2323064888951</c:v>
                </c:pt>
                <c:pt idx="278">
                  <c:v>2115.8968164810731</c:v>
                </c:pt>
                <c:pt idx="279">
                  <c:v>2129.6501457882</c:v>
                </c:pt>
                <c:pt idx="280">
                  <c:v>2143.4928717358234</c:v>
                </c:pt>
                <c:pt idx="281">
                  <c:v>2157.425575402106</c:v>
                </c:pt>
                <c:pt idx="282">
                  <c:v>2171.44884164222</c:v>
                </c:pt>
                <c:pt idx="283">
                  <c:v>2185.5632591128942</c:v>
                </c:pt>
                <c:pt idx="284">
                  <c:v>2199.7694202971279</c:v>
                </c:pt>
                <c:pt idx="285">
                  <c:v>2214.0679215290593</c:v>
                </c:pt>
                <c:pt idx="286">
                  <c:v>2228.4593630189984</c:v>
                </c:pt>
                <c:pt idx="287">
                  <c:v>2242.9443488786219</c:v>
                </c:pt>
                <c:pt idx="288">
                  <c:v>2257.5234871463326</c:v>
                </c:pt>
                <c:pt idx="289">
                  <c:v>2272.197389812784</c:v>
                </c:pt>
                <c:pt idx="290">
                  <c:v>2286.9666728465672</c:v>
                </c:pt>
                <c:pt idx="291">
                  <c:v>2301.83195622007</c:v>
                </c:pt>
                <c:pt idx="292">
                  <c:v>2316.7938639355007</c:v>
                </c:pt>
                <c:pt idx="293">
                  <c:v>2331.8530240510809</c:v>
                </c:pt>
                <c:pt idx="294">
                  <c:v>2347.0100687074132</c:v>
                </c:pt>
                <c:pt idx="295">
                  <c:v>2362.2656341540114</c:v>
                </c:pt>
                <c:pt idx="296">
                  <c:v>2377.6203607760126</c:v>
                </c:pt>
                <c:pt idx="297">
                  <c:v>2393.0748931210564</c:v>
                </c:pt>
                <c:pt idx="298">
                  <c:v>2408.6298799263432</c:v>
                </c:pt>
                <c:pt idx="299">
                  <c:v>2424.2859741458642</c:v>
                </c:pt>
                <c:pt idx="300">
                  <c:v>2440.0438329778126</c:v>
                </c:pt>
                <c:pt idx="301">
                  <c:v>2455.9041178921689</c:v>
                </c:pt>
                <c:pt idx="302">
                  <c:v>2471.8674946584679</c:v>
                </c:pt>
                <c:pt idx="303">
                  <c:v>2487.9346333737476</c:v>
                </c:pt>
                <c:pt idx="304">
                  <c:v>2504.1062084906771</c:v>
                </c:pt>
                <c:pt idx="305">
                  <c:v>2520.3828988458663</c:v>
                </c:pt>
                <c:pt idx="306">
                  <c:v>2536.7653876883646</c:v>
                </c:pt>
                <c:pt idx="307">
                  <c:v>2553.2543627083387</c:v>
                </c:pt>
                <c:pt idx="308">
                  <c:v>2569.8505160659433</c:v>
                </c:pt>
                <c:pt idx="309">
                  <c:v>2586.5545444203717</c:v>
                </c:pt>
                <c:pt idx="310">
                  <c:v>2603.3671489591043</c:v>
                </c:pt>
                <c:pt idx="311">
                  <c:v>2620.2890354273381</c:v>
                </c:pt>
                <c:pt idx="312">
                  <c:v>2637.3209141576158</c:v>
                </c:pt>
                <c:pt idx="313">
                  <c:v>2654.4635000996404</c:v>
                </c:pt>
                <c:pt idx="314">
                  <c:v>2671.7175128502881</c:v>
                </c:pt>
                <c:pt idx="315">
                  <c:v>2689.0836766838152</c:v>
                </c:pt>
                <c:pt idx="316">
                  <c:v>2706.5627205822598</c:v>
                </c:pt>
                <c:pt idx="317">
                  <c:v>2724.1553782660444</c:v>
                </c:pt>
                <c:pt idx="318">
                  <c:v>2741.8623882247734</c:v>
                </c:pt>
                <c:pt idx="319">
                  <c:v>2759.6844937482347</c:v>
                </c:pt>
                <c:pt idx="320">
                  <c:v>2777.6224429575982</c:v>
                </c:pt>
                <c:pt idx="321">
                  <c:v>2795.6769888368226</c:v>
                </c:pt>
                <c:pt idx="322">
                  <c:v>2813.8488892642622</c:v>
                </c:pt>
                <c:pt idx="323">
                  <c:v>2832.1389070444798</c:v>
                </c:pt>
                <c:pt idx="324">
                  <c:v>2850.547809940269</c:v>
                </c:pt>
                <c:pt idx="325">
                  <c:v>2869.0763707048804</c:v>
                </c:pt>
                <c:pt idx="326">
                  <c:v>2887.7253671144622</c:v>
                </c:pt>
                <c:pt idx="327">
                  <c:v>2906.4955820007062</c:v>
                </c:pt>
                <c:pt idx="328">
                  <c:v>2925.387803283711</c:v>
                </c:pt>
                <c:pt idx="329">
                  <c:v>2944.4028240050548</c:v>
                </c:pt>
                <c:pt idx="330">
                  <c:v>2963.5414423610878</c:v>
                </c:pt>
                <c:pt idx="331">
                  <c:v>2982.8044617364349</c:v>
                </c:pt>
                <c:pt idx="332">
                  <c:v>3002.1926907377219</c:v>
                </c:pt>
                <c:pt idx="333">
                  <c:v>3021.7069432275171</c:v>
                </c:pt>
                <c:pt idx="334">
                  <c:v>3041.3480383584956</c:v>
                </c:pt>
                <c:pt idx="335">
                  <c:v>3061.116800607826</c:v>
                </c:pt>
                <c:pt idx="336">
                  <c:v>3081.0140598117769</c:v>
                </c:pt>
                <c:pt idx="337">
                  <c:v>3101.0406512005534</c:v>
                </c:pt>
                <c:pt idx="338">
                  <c:v>3121.197415433357</c:v>
                </c:pt>
                <c:pt idx="339">
                  <c:v>3141.4851986336739</c:v>
                </c:pt>
                <c:pt idx="340">
                  <c:v>3161.9048524247928</c:v>
                </c:pt>
                <c:pt idx="341">
                  <c:v>3182.4572339655538</c:v>
                </c:pt>
                <c:pt idx="342">
                  <c:v>3203.14320598633</c:v>
                </c:pt>
                <c:pt idx="343">
                  <c:v>3223.9636368252413</c:v>
                </c:pt>
                <c:pt idx="344">
                  <c:v>3244.9194004646051</c:v>
                </c:pt>
                <c:pt idx="345">
                  <c:v>3266.0113765676251</c:v>
                </c:pt>
                <c:pt idx="346">
                  <c:v>3287.2404505153145</c:v>
                </c:pt>
                <c:pt idx="347">
                  <c:v>3308.6075134436642</c:v>
                </c:pt>
                <c:pt idx="348">
                  <c:v>3330.1134622810482</c:v>
                </c:pt>
                <c:pt idx="349">
                  <c:v>3351.7591997858749</c:v>
                </c:pt>
                <c:pt idx="350">
                  <c:v>3373.5456345844832</c:v>
                </c:pt>
                <c:pt idx="351">
                  <c:v>3395.4736812092824</c:v>
                </c:pt>
                <c:pt idx="352">
                  <c:v>3417.5442601371424</c:v>
                </c:pt>
                <c:pt idx="353">
                  <c:v>3439.7582978280338</c:v>
                </c:pt>
                <c:pt idx="354">
                  <c:v>3462.1167267639162</c:v>
                </c:pt>
                <c:pt idx="355">
                  <c:v>3484.6204854878815</c:v>
                </c:pt>
                <c:pt idx="356">
                  <c:v>3507.2705186435528</c:v>
                </c:pt>
                <c:pt idx="357">
                  <c:v>3530.0677770147358</c:v>
                </c:pt>
                <c:pt idx="358">
                  <c:v>3553.0132175653316</c:v>
                </c:pt>
                <c:pt idx="359">
                  <c:v>3576.1078034795064</c:v>
                </c:pt>
              </c:numCache>
            </c:numRef>
          </c:val>
          <c:smooth val="0"/>
          <c:extLst>
            <c:ext xmlns:c16="http://schemas.microsoft.com/office/drawing/2014/chart" uri="{C3380CC4-5D6E-409C-BE32-E72D297353CC}">
              <c16:uniqueId val="{00000001-CB3B-4410-9AB5-5D65FA74DFCC}"/>
            </c:ext>
          </c:extLst>
        </c:ser>
        <c:ser>
          <c:idx val="1"/>
          <c:order val="2"/>
          <c:tx>
            <c:strRef>
              <c:f>[2]Data!$E$8</c:f>
              <c:strCache>
                <c:ptCount val="1"/>
                <c:pt idx="0">
                  <c:v>Interest</c:v>
                </c:pt>
              </c:strCache>
            </c:strRef>
          </c:tx>
          <c:spPr>
            <a:ln w="57150"/>
          </c:spPr>
          <c:marker>
            <c:symbol val="none"/>
          </c:marker>
          <c:val>
            <c:numRef>
              <c:f>[2]Data!$E$9:$E$368</c:f>
              <c:numCache>
                <c:formatCode>General</c:formatCode>
                <c:ptCount val="360"/>
                <c:pt idx="0">
                  <c:v>3250</c:v>
                </c:pt>
                <c:pt idx="1">
                  <c:v>3247.7292087226865</c:v>
                </c:pt>
                <c:pt idx="2">
                  <c:v>3245.4436573020698</c:v>
                </c:pt>
                <c:pt idx="3">
                  <c:v>3243.1432497972196</c:v>
                </c:pt>
                <c:pt idx="4">
                  <c:v>3240.8278896435877</c:v>
                </c:pt>
                <c:pt idx="5">
                  <c:v>3238.4974796489569</c:v>
                </c:pt>
                <c:pt idx="6">
                  <c:v>3236.1519219893612</c:v>
                </c:pt>
                <c:pt idx="7">
                  <c:v>3233.7911182049779</c:v>
                </c:pt>
                <c:pt idx="8">
                  <c:v>3231.4149691959969</c:v>
                </c:pt>
                <c:pt idx="9">
                  <c:v>3229.0233752184563</c:v>
                </c:pt>
                <c:pt idx="10">
                  <c:v>3226.616235880063</c:v>
                </c:pt>
                <c:pt idx="11">
                  <c:v>3224.1934501359697</c:v>
                </c:pt>
                <c:pt idx="12">
                  <c:v>3221.7549162845394</c:v>
                </c:pt>
                <c:pt idx="13">
                  <c:v>3219.3005319630752</c:v>
                </c:pt>
                <c:pt idx="14">
                  <c:v>3216.8301941435216</c:v>
                </c:pt>
                <c:pt idx="15">
                  <c:v>3214.3437991281407</c:v>
                </c:pt>
                <c:pt idx="16">
                  <c:v>3211.8412425451602</c:v>
                </c:pt>
                <c:pt idx="17">
                  <c:v>3209.3224193443893</c:v>
                </c:pt>
                <c:pt idx="18">
                  <c:v>3206.7872237928145</c:v>
                </c:pt>
                <c:pt idx="19">
                  <c:v>3204.2355494701537</c:v>
                </c:pt>
                <c:pt idx="20">
                  <c:v>3201.667289264396</c:v>
                </c:pt>
                <c:pt idx="21">
                  <c:v>3199.0823353673004</c:v>
                </c:pt>
                <c:pt idx="22">
                  <c:v>3196.4805792698739</c:v>
                </c:pt>
                <c:pt idx="23">
                  <c:v>3193.8619117578146</c:v>
                </c:pt>
                <c:pt idx="24">
                  <c:v>3191.226222906927</c:v>
                </c:pt>
                <c:pt idx="25">
                  <c:v>3188.5734020785076</c:v>
                </c:pt>
                <c:pt idx="26">
                  <c:v>3185.903337914704</c:v>
                </c:pt>
                <c:pt idx="27">
                  <c:v>3183.2159183338358</c:v>
                </c:pt>
                <c:pt idx="28">
                  <c:v>3180.5110305256917</c:v>
                </c:pt>
                <c:pt idx="29">
                  <c:v>3177.7885609467953</c:v>
                </c:pt>
                <c:pt idx="30">
                  <c:v>3175.0483953156349</c:v>
                </c:pt>
                <c:pt idx="31">
                  <c:v>3172.2904186078727</c:v>
                </c:pt>
                <c:pt idx="32">
                  <c:v>3169.5145150515104</c:v>
                </c:pt>
                <c:pt idx="33">
                  <c:v>3166.7205681220312</c:v>
                </c:pt>
                <c:pt idx="34">
                  <c:v>3163.9084605375101</c:v>
                </c:pt>
                <c:pt idx="35">
                  <c:v>3161.0780742536904</c:v>
                </c:pt>
                <c:pt idx="36">
                  <c:v>3158.2292904590254</c:v>
                </c:pt>
                <c:pt idx="37">
                  <c:v>3155.3619895696957</c:v>
                </c:pt>
                <c:pt idx="38">
                  <c:v>3152.4760512245848</c:v>
                </c:pt>
                <c:pt idx="39">
                  <c:v>3149.5713542802309</c:v>
                </c:pt>
                <c:pt idx="40">
                  <c:v>3146.6477768057389</c:v>
                </c:pt>
                <c:pt idx="41">
                  <c:v>3143.7051960776621</c:v>
                </c:pt>
                <c:pt idx="42">
                  <c:v>3140.743488574853</c:v>
                </c:pt>
                <c:pt idx="43">
                  <c:v>3137.7625299732758</c:v>
                </c:pt>
                <c:pt idx="44">
                  <c:v>3134.7621951407878</c:v>
                </c:pt>
                <c:pt idx="45">
                  <c:v>3131.742358131889</c:v>
                </c:pt>
                <c:pt idx="46">
                  <c:v>3128.7028921824326</c:v>
                </c:pt>
                <c:pt idx="47">
                  <c:v>3125.6436697043046</c:v>
                </c:pt>
                <c:pt idx="48">
                  <c:v>3122.5645622800689</c:v>
                </c:pt>
                <c:pt idx="49">
                  <c:v>3119.4654406575751</c:v>
                </c:pt>
                <c:pt idx="50">
                  <c:v>3116.3461747445358</c:v>
                </c:pt>
                <c:pt idx="51">
                  <c:v>3113.2066336030616</c:v>
                </c:pt>
                <c:pt idx="52">
                  <c:v>3110.0466854441675</c:v>
                </c:pt>
                <c:pt idx="53">
                  <c:v>3106.8661976222406</c:v>
                </c:pt>
                <c:pt idx="54">
                  <c:v>3103.6650366294712</c:v>
                </c:pt>
                <c:pt idx="55">
                  <c:v>3100.4430680902483</c:v>
                </c:pt>
                <c:pt idx="56">
                  <c:v>3097.2001567555217</c:v>
                </c:pt>
                <c:pt idx="57">
                  <c:v>3093.9361664971188</c:v>
                </c:pt>
                <c:pt idx="58">
                  <c:v>3090.6509603020363</c:v>
                </c:pt>
                <c:pt idx="59">
                  <c:v>3087.3444002666856</c:v>
                </c:pt>
                <c:pt idx="60">
                  <c:v>3084.0163475911054</c:v>
                </c:pt>
                <c:pt idx="61">
                  <c:v>3080.6666625731336</c:v>
                </c:pt>
                <c:pt idx="62">
                  <c:v>3077.2952046025453</c:v>
                </c:pt>
                <c:pt idx="63">
                  <c:v>3073.901832155148</c:v>
                </c:pt>
                <c:pt idx="64">
                  <c:v>3070.4864027868425</c:v>
                </c:pt>
                <c:pt idx="65">
                  <c:v>3067.048773127643</c:v>
                </c:pt>
                <c:pt idx="66">
                  <c:v>3063.588798875659</c:v>
                </c:pt>
                <c:pt idx="67">
                  <c:v>3060.1063347910367</c:v>
                </c:pt>
                <c:pt idx="68">
                  <c:v>3056.6012346898647</c:v>
                </c:pt>
                <c:pt idx="69">
                  <c:v>3053.0733514380349</c:v>
                </c:pt>
                <c:pt idx="70">
                  <c:v>3049.5225369450677</c:v>
                </c:pt>
                <c:pt idx="71">
                  <c:v>3045.9486421578972</c:v>
                </c:pt>
                <c:pt idx="72">
                  <c:v>3042.3515170546093</c:v>
                </c:pt>
                <c:pt idx="73">
                  <c:v>3038.7310106381506</c:v>
                </c:pt>
                <c:pt idx="74">
                  <c:v>3035.0869709299855</c:v>
                </c:pt>
                <c:pt idx="75">
                  <c:v>3031.4192449637162</c:v>
                </c:pt>
                <c:pt idx="76">
                  <c:v>3027.7276787786664</c:v>
                </c:pt>
                <c:pt idx="77">
                  <c:v>3024.0121174134142</c:v>
                </c:pt>
                <c:pt idx="78">
                  <c:v>3020.2724048992873</c:v>
                </c:pt>
                <c:pt idx="79">
                  <c:v>3016.5083842538188</c:v>
                </c:pt>
                <c:pt idx="80">
                  <c:v>3012.7198974741545</c:v>
                </c:pt>
                <c:pt idx="81">
                  <c:v>3008.9067855304224</c:v>
                </c:pt>
                <c:pt idx="82">
                  <c:v>3005.068888359056</c:v>
                </c:pt>
                <c:pt idx="83">
                  <c:v>3001.2060448560765</c:v>
                </c:pt>
                <c:pt idx="84">
                  <c:v>2997.3180928703264</c:v>
                </c:pt>
                <c:pt idx="85">
                  <c:v>2993.4048691966705</c:v>
                </c:pt>
                <c:pt idx="86">
                  <c:v>2989.4662095691347</c:v>
                </c:pt>
                <c:pt idx="87">
                  <c:v>2985.5019486540205</c:v>
                </c:pt>
                <c:pt idx="88">
                  <c:v>2981.5119200429576</c:v>
                </c:pt>
                <c:pt idx="89">
                  <c:v>2977.4959562459226</c:v>
                </c:pt>
                <c:pt idx="90">
                  <c:v>2973.4538886842074</c:v>
                </c:pt>
                <c:pt idx="91">
                  <c:v>2969.385547683341</c:v>
                </c:pt>
                <c:pt idx="92">
                  <c:v>2965.2907624659692</c:v>
                </c:pt>
                <c:pt idx="93">
                  <c:v>2961.1693611446844</c:v>
                </c:pt>
                <c:pt idx="94">
                  <c:v>2957.0211707148105</c:v>
                </c:pt>
                <c:pt idx="95">
                  <c:v>2952.8460170471431</c:v>
                </c:pt>
                <c:pt idx="96">
                  <c:v>2948.643724880636</c:v>
                </c:pt>
                <c:pt idx="97">
                  <c:v>2944.4141178150458</c:v>
                </c:pt>
                <c:pt idx="98">
                  <c:v>2940.1570183035296</c:v>
                </c:pt>
                <c:pt idx="99">
                  <c:v>2935.8722476451894</c:v>
                </c:pt>
                <c:pt idx="100">
                  <c:v>2931.5596259775689</c:v>
                </c:pt>
                <c:pt idx="101">
                  <c:v>2927.2189722691091</c:v>
                </c:pt>
                <c:pt idx="102">
                  <c:v>2922.8501043115448</c:v>
                </c:pt>
                <c:pt idx="103">
                  <c:v>2918.4528387122559</c:v>
                </c:pt>
                <c:pt idx="104">
                  <c:v>2914.0269908865721</c:v>
                </c:pt>
                <c:pt idx="105">
                  <c:v>2909.5723750500206</c:v>
                </c:pt>
                <c:pt idx="106">
                  <c:v>2905.0888042105321</c:v>
                </c:pt>
                <c:pt idx="107">
                  <c:v>2900.5760901605868</c:v>
                </c:pt>
                <c:pt idx="108">
                  <c:v>2896.0340434693171</c:v>
                </c:pt>
                <c:pt idx="109">
                  <c:v>2891.4624734745539</c:v>
                </c:pt>
                <c:pt idx="110">
                  <c:v>2886.8611882748246</c:v>
                </c:pt>
                <c:pt idx="111">
                  <c:v>2882.2299947212973</c:v>
                </c:pt>
                <c:pt idx="112">
                  <c:v>2877.5686984096715</c:v>
                </c:pt>
                <c:pt idx="113">
                  <c:v>2872.8771036720204</c:v>
                </c:pt>
                <c:pt idx="114">
                  <c:v>2868.1550135685752</c:v>
                </c:pt>
                <c:pt idx="115">
                  <c:v>2863.4022298794566</c:v>
                </c:pt>
                <c:pt idx="116">
                  <c:v>2858.6185530963594</c:v>
                </c:pt>
                <c:pt idx="117">
                  <c:v>2853.8037824141716</c:v>
                </c:pt>
                <c:pt idx="118">
                  <c:v>2848.9577157225499</c:v>
                </c:pt>
                <c:pt idx="119">
                  <c:v>2844.0801495974324</c:v>
                </c:pt>
                <c:pt idx="120">
                  <c:v>2839.1708792925019</c:v>
                </c:pt>
                <c:pt idx="121">
                  <c:v>2834.229698730589</c:v>
                </c:pt>
                <c:pt idx="122">
                  <c:v>2829.2564004950241</c:v>
                </c:pt>
                <c:pt idx="123">
                  <c:v>2824.2507758209281</c:v>
                </c:pt>
                <c:pt idx="124">
                  <c:v>2819.2126145864509</c:v>
                </c:pt>
                <c:pt idx="125">
                  <c:v>2814.1417053039481</c:v>
                </c:pt>
                <c:pt idx="126">
                  <c:v>2809.0378351111103</c:v>
                </c:pt>
                <c:pt idx="127">
                  <c:v>2803.900789762019</c:v>
                </c:pt>
                <c:pt idx="128">
                  <c:v>2798.7303536181576</c:v>
                </c:pt>
                <c:pt idx="129">
                  <c:v>2793.5263096393624</c:v>
                </c:pt>
                <c:pt idx="130">
                  <c:v>2788.288439374704</c:v>
                </c:pt>
                <c:pt idx="131">
                  <c:v>2783.0165229533263</c:v>
                </c:pt>
                <c:pt idx="132">
                  <c:v>2777.7103390752086</c:v>
                </c:pt>
                <c:pt idx="133">
                  <c:v>2772.3696650018833</c:v>
                </c:pt>
                <c:pt idx="134">
                  <c:v>2766.9942765470823</c:v>
                </c:pt>
                <c:pt idx="135">
                  <c:v>2761.5839480673239</c:v>
                </c:pt>
                <c:pt idx="136">
                  <c:v>2756.1384524524478</c:v>
                </c:pt>
                <c:pt idx="137">
                  <c:v>2750.6575611160752</c:v>
                </c:pt>
                <c:pt idx="138">
                  <c:v>2745.1410439860156</c:v>
                </c:pt>
                <c:pt idx="139">
                  <c:v>2739.5886694946112</c:v>
                </c:pt>
                <c:pt idx="140">
                  <c:v>2734.0002045690121</c:v>
                </c:pt>
                <c:pt idx="141">
                  <c:v>2728.3754146213964</c:v>
                </c:pt>
                <c:pt idx="142">
                  <c:v>2722.714063539122</c:v>
                </c:pt>
                <c:pt idx="143">
                  <c:v>2717.0159136748125</c:v>
                </c:pt>
                <c:pt idx="144">
                  <c:v>2711.280725836385</c:v>
                </c:pt>
                <c:pt idx="145">
                  <c:v>2705.5082592770073</c:v>
                </c:pt>
                <c:pt idx="146">
                  <c:v>2699.6982716849939</c:v>
                </c:pt>
                <c:pt idx="147">
                  <c:v>2693.8505191736326</c:v>
                </c:pt>
                <c:pt idx="148">
                  <c:v>2687.9647562709474</c:v>
                </c:pt>
                <c:pt idx="149">
                  <c:v>2682.0407359093947</c:v>
                </c:pt>
                <c:pt idx="150">
                  <c:v>2676.078209415492</c:v>
                </c:pt>
                <c:pt idx="151">
                  <c:v>2670.0769264993792</c:v>
                </c:pt>
                <c:pt idx="152">
                  <c:v>2664.0366352443111</c:v>
                </c:pt>
                <c:pt idx="153">
                  <c:v>2657.9570820960853</c:v>
                </c:pt>
                <c:pt idx="154">
                  <c:v>2651.838011852396</c:v>
                </c:pt>
                <c:pt idx="155">
                  <c:v>2645.6791676521229</c:v>
                </c:pt>
                <c:pt idx="156">
                  <c:v>2639.4802909645477</c:v>
                </c:pt>
                <c:pt idx="157">
                  <c:v>2633.2411215785037</c:v>
                </c:pt>
                <c:pt idx="158">
                  <c:v>2626.9613975914499</c:v>
                </c:pt>
                <c:pt idx="159">
                  <c:v>2620.6408553984807</c:v>
                </c:pt>
                <c:pt idx="160">
                  <c:v>2614.2792296812568</c:v>
                </c:pt>
                <c:pt idx="161">
                  <c:v>2607.8762533968716</c:v>
                </c:pt>
                <c:pt idx="162">
                  <c:v>2601.4316577666373</c:v>
                </c:pt>
                <c:pt idx="163">
                  <c:v>2594.9451722648068</c:v>
                </c:pt>
                <c:pt idx="164">
                  <c:v>2588.4165246072139</c:v>
                </c:pt>
                <c:pt idx="165">
                  <c:v>2581.8454407398467</c:v>
                </c:pt>
                <c:pt idx="166">
                  <c:v>2575.2316448273418</c:v>
                </c:pt>
                <c:pt idx="167">
                  <c:v>2568.5748592414056</c:v>
                </c:pt>
                <c:pt idx="168">
                  <c:v>2561.8748045491607</c:v>
                </c:pt>
                <c:pt idx="169">
                  <c:v>2555.1311995014166</c:v>
                </c:pt>
                <c:pt idx="170">
                  <c:v>2548.3437610208621</c:v>
                </c:pt>
                <c:pt idx="171">
                  <c:v>2541.5122041901836</c:v>
                </c:pt>
                <c:pt idx="172">
                  <c:v>2534.6362422401062</c:v>
                </c:pt>
                <c:pt idx="173">
                  <c:v>2527.7155865373529</c:v>
                </c:pt>
                <c:pt idx="174">
                  <c:v>2520.7499465725318</c:v>
                </c:pt>
                <c:pt idx="175">
                  <c:v>2513.7390299479398</c:v>
                </c:pt>
                <c:pt idx="176">
                  <c:v>2506.6825423652872</c:v>
                </c:pt>
                <c:pt idx="177">
                  <c:v>2499.5801876133478</c:v>
                </c:pt>
                <c:pt idx="178">
                  <c:v>2492.4316675555206</c:v>
                </c:pt>
                <c:pt idx="179">
                  <c:v>2485.2366821173177</c:v>
                </c:pt>
                <c:pt idx="180">
                  <c:v>2477.994929273766</c:v>
                </c:pt>
                <c:pt idx="181">
                  <c:v>2470.7061050367315</c:v>
                </c:pt>
                <c:pt idx="182">
                  <c:v>2463.3699034421566</c:v>
                </c:pt>
                <c:pt idx="183">
                  <c:v>2455.986016537217</c:v>
                </c:pt>
                <c:pt idx="184">
                  <c:v>2448.5541343673949</c:v>
                </c:pt>
                <c:pt idx="185">
                  <c:v>2441.0739449634693</c:v>
                </c:pt>
                <c:pt idx="186">
                  <c:v>2433.545134328418</c:v>
                </c:pt>
                <c:pt idx="187">
                  <c:v>2425.9673864242391</c:v>
                </c:pt>
                <c:pt idx="188">
                  <c:v>2418.3403831586825</c:v>
                </c:pt>
                <c:pt idx="189">
                  <c:v>2410.6638043719004</c:v>
                </c:pt>
                <c:pt idx="190">
                  <c:v>2402.9373278230037</c:v>
                </c:pt>
                <c:pt idx="191">
                  <c:v>2395.1606291765397</c:v>
                </c:pt>
                <c:pt idx="192">
                  <c:v>2387.3333819888735</c:v>
                </c:pt>
                <c:pt idx="193">
                  <c:v>2379.455257694487</c:v>
                </c:pt>
                <c:pt idx="194">
                  <c:v>2371.5259255921874</c:v>
                </c:pt>
                <c:pt idx="195">
                  <c:v>2363.5450528312231</c:v>
                </c:pt>
                <c:pt idx="196">
                  <c:v>2355.5123043973122</c:v>
                </c:pt>
                <c:pt idx="197">
                  <c:v>2347.4273430985809</c:v>
                </c:pt>
                <c:pt idx="198">
                  <c:v>2339.2898295514074</c:v>
                </c:pt>
                <c:pt idx="199">
                  <c:v>2331.0994221661776</c:v>
                </c:pt>
                <c:pt idx="200">
                  <c:v>2322.8557771329442</c:v>
                </c:pt>
                <c:pt idx="201">
                  <c:v>2314.5585484069948</c:v>
                </c:pt>
                <c:pt idx="202">
                  <c:v>2306.2073876943264</c:v>
                </c:pt>
                <c:pt idx="203">
                  <c:v>2297.8019444370252</c:v>
                </c:pt>
                <c:pt idx="204">
                  <c:v>2289.3418657985521</c:v>
                </c:pt>
                <c:pt idx="205">
                  <c:v>2280.8267966489288</c:v>
                </c:pt>
                <c:pt idx="206">
                  <c:v>2272.2563795498331</c:v>
                </c:pt>
                <c:pt idx="207">
                  <c:v>2263.6302547395931</c:v>
                </c:pt>
                <c:pt idx="208">
                  <c:v>2254.9480601180862</c:v>
                </c:pt>
                <c:pt idx="209">
                  <c:v>2246.2094312315403</c:v>
                </c:pt>
                <c:pt idx="210">
                  <c:v>2237.4140012572311</c:v>
                </c:pt>
                <c:pt idx="211">
                  <c:v>2228.5614009880896</c:v>
                </c:pt>
                <c:pt idx="212">
                  <c:v>2219.6512588171986</c:v>
                </c:pt>
                <c:pt idx="213">
                  <c:v>2210.683200722196</c:v>
                </c:pt>
                <c:pt idx="214">
                  <c:v>2201.6568502495766</c:v>
                </c:pt>
                <c:pt idx="215">
                  <c:v>2192.5718284988848</c:v>
                </c:pt>
                <c:pt idx="216">
                  <c:v>2183.4277541068136</c:v>
                </c:pt>
                <c:pt idx="217">
                  <c:v>2174.2242432311946</c:v>
                </c:pt>
                <c:pt idx="218">
                  <c:v>2164.9609095348837</c:v>
                </c:pt>
                <c:pt idx="219">
                  <c:v>2155.6373641695468</c:v>
                </c:pt>
                <c:pt idx="220">
                  <c:v>2146.2532157593346</c:v>
                </c:pt>
                <c:pt idx="221">
                  <c:v>2136.8080703844566</c:v>
                </c:pt>
                <c:pt idx="222">
                  <c:v>2127.3015315646417</c:v>
                </c:pt>
                <c:pt idx="223">
                  <c:v>2117.7332002424978</c:v>
                </c:pt>
                <c:pt idx="224">
                  <c:v>2108.1026747667602</c:v>
                </c:pt>
                <c:pt idx="225">
                  <c:v>2098.4095508754303</c:v>
                </c:pt>
                <c:pt idx="226">
                  <c:v>2088.6534216788068</c:v>
                </c:pt>
                <c:pt idx="227">
                  <c:v>2078.8338776424048</c:v>
                </c:pt>
                <c:pt idx="228">
                  <c:v>2068.9505065697672</c:v>
                </c:pt>
                <c:pt idx="229">
                  <c:v>2059.0028935851565</c:v>
                </c:pt>
                <c:pt idx="230">
                  <c:v>2048.9906211161465</c:v>
                </c:pt>
                <c:pt idx="231">
                  <c:v>2038.9132688760874</c:v>
                </c:pt>
                <c:pt idx="232">
                  <c:v>2028.7704138464685</c:v>
                </c:pt>
                <c:pt idx="233">
                  <c:v>2018.5616302591563</c:v>
                </c:pt>
                <c:pt idx="234">
                  <c:v>2008.2864895785272</c:v>
                </c:pt>
                <c:pt idx="235">
                  <c:v>1997.9445604834737</c:v>
                </c:pt>
                <c:pt idx="236">
                  <c:v>1987.5354088493023</c:v>
                </c:pt>
                <c:pt idx="237">
                  <c:v>1977.0585977295093</c:v>
                </c:pt>
                <c:pt idx="238">
                  <c:v>1966.513687337437</c:v>
                </c:pt>
                <c:pt idx="239">
                  <c:v>1955.9002350278167</c:v>
                </c:pt>
                <c:pt idx="240">
                  <c:v>1945.2177952781833</c:v>
                </c:pt>
                <c:pt idx="241">
                  <c:v>1934.4659196701778</c:v>
                </c:pt>
                <c:pt idx="242">
                  <c:v>1923.6441568707198</c:v>
                </c:pt>
                <c:pt idx="243">
                  <c:v>1912.7520526130659</c:v>
                </c:pt>
                <c:pt idx="244">
                  <c:v>1901.7891496777372</c:v>
                </c:pt>
                <c:pt idx="245">
                  <c:v>1890.7549878733289</c:v>
                </c:pt>
                <c:pt idx="246">
                  <c:v>1879.6491040171916</c:v>
                </c:pt>
                <c:pt idx="247">
                  <c:v>1868.4710319159894</c:v>
                </c:pt>
                <c:pt idx="248">
                  <c:v>1857.2203023461298</c:v>
                </c:pt>
                <c:pt idx="249">
                  <c:v>1845.8964430340657</c:v>
                </c:pt>
                <c:pt idx="250">
                  <c:v>1834.4989786364733</c:v>
                </c:pt>
                <c:pt idx="251">
                  <c:v>1823.0274307202969</c:v>
                </c:pt>
                <c:pt idx="252">
                  <c:v>1811.4813177426649</c:v>
                </c:pt>
                <c:pt idx="253">
                  <c:v>1799.8601550306785</c:v>
                </c:pt>
                <c:pt idx="254">
                  <c:v>1788.163454761064</c:v>
                </c:pt>
                <c:pt idx="255">
                  <c:v>1776.3907259396972</c:v>
                </c:pt>
                <c:pt idx="256">
                  <c:v>1764.5414743809913</c:v>
                </c:pt>
                <c:pt idx="257">
                  <c:v>1752.6152026871541</c:v>
                </c:pt>
                <c:pt idx="258">
                  <c:v>1740.6114102273068</c:v>
                </c:pt>
                <c:pt idx="259">
                  <c:v>1728.5295931164703</c:v>
                </c:pt>
                <c:pt idx="260">
                  <c:v>1716.3692441944133</c:v>
                </c:pt>
                <c:pt idx="261">
                  <c:v>1704.1298530043634</c:v>
                </c:pt>
                <c:pt idx="262">
                  <c:v>1691.8109057715781</c:v>
                </c:pt>
                <c:pt idx="263">
                  <c:v>1679.4118853817793</c:v>
                </c:pt>
                <c:pt idx="264">
                  <c:v>1666.9322713594472</c:v>
                </c:pt>
                <c:pt idx="265">
                  <c:v>1654.3715398459697</c:v>
                </c:pt>
                <c:pt idx="266">
                  <c:v>1641.7291635776546</c:v>
                </c:pt>
                <c:pt idx="267">
                  <c:v>1629.0046118635955</c:v>
                </c:pt>
                <c:pt idx="268">
                  <c:v>1616.197350563395</c:v>
                </c:pt>
                <c:pt idx="269">
                  <c:v>1603.3068420647433</c:v>
                </c:pt>
                <c:pt idx="270">
                  <c:v>1590.3325452608503</c:v>
                </c:pt>
                <c:pt idx="271">
                  <c:v>1577.2739155277322</c:v>
                </c:pt>
                <c:pt idx="272">
                  <c:v>1564.1304047013484</c:v>
                </c:pt>
                <c:pt idx="273">
                  <c:v>1550.9014610545935</c:v>
                </c:pt>
                <c:pt idx="274">
                  <c:v>1537.5865292741344</c:v>
                </c:pt>
                <c:pt idx="275">
                  <c:v>1524.1850504371025</c:v>
                </c:pt>
                <c:pt idx="276">
                  <c:v>1510.6964619876298</c:v>
                </c:pt>
                <c:pt idx="277">
                  <c:v>1497.1201977132353</c:v>
                </c:pt>
                <c:pt idx="278">
                  <c:v>1483.4556877210578</c:v>
                </c:pt>
                <c:pt idx="279">
                  <c:v>1469.7023584139306</c:v>
                </c:pt>
                <c:pt idx="280">
                  <c:v>1455.8596324663074</c:v>
                </c:pt>
                <c:pt idx="281">
                  <c:v>1441.9269288000244</c:v>
                </c:pt>
                <c:pt idx="282">
                  <c:v>1427.9036625599108</c:v>
                </c:pt>
                <c:pt idx="283">
                  <c:v>1413.7892450892361</c:v>
                </c:pt>
                <c:pt idx="284">
                  <c:v>1399.5830839050025</c:v>
                </c:pt>
                <c:pt idx="285">
                  <c:v>1385.2845826730711</c:v>
                </c:pt>
                <c:pt idx="286">
                  <c:v>1370.8931411831325</c:v>
                </c:pt>
                <c:pt idx="287">
                  <c:v>1356.4081553235089</c:v>
                </c:pt>
                <c:pt idx="288">
                  <c:v>1341.8290170557977</c:v>
                </c:pt>
                <c:pt idx="289">
                  <c:v>1327.1551143893466</c:v>
                </c:pt>
                <c:pt idx="290">
                  <c:v>1312.3858313555636</c:v>
                </c:pt>
                <c:pt idx="291">
                  <c:v>1297.5205479820606</c:v>
                </c:pt>
                <c:pt idx="292">
                  <c:v>1282.5586402666302</c:v>
                </c:pt>
                <c:pt idx="293">
                  <c:v>1267.4994801510495</c:v>
                </c:pt>
                <c:pt idx="294">
                  <c:v>1252.3424354947174</c:v>
                </c:pt>
                <c:pt idx="295">
                  <c:v>1237.0868700481192</c:v>
                </c:pt>
                <c:pt idx="296">
                  <c:v>1221.7321434261182</c:v>
                </c:pt>
                <c:pt idx="297">
                  <c:v>1206.2776110810742</c:v>
                </c:pt>
                <c:pt idx="298">
                  <c:v>1190.7226242757872</c:v>
                </c:pt>
                <c:pt idx="299">
                  <c:v>1175.0665300562662</c:v>
                </c:pt>
                <c:pt idx="300">
                  <c:v>1159.308671224318</c:v>
                </c:pt>
                <c:pt idx="301">
                  <c:v>1143.448386309962</c:v>
                </c:pt>
                <c:pt idx="302">
                  <c:v>1127.485009543663</c:v>
                </c:pt>
                <c:pt idx="303">
                  <c:v>1111.4178708283828</c:v>
                </c:pt>
                <c:pt idx="304">
                  <c:v>1095.2462957114535</c:v>
                </c:pt>
                <c:pt idx="305">
                  <c:v>1078.9696053562641</c:v>
                </c:pt>
                <c:pt idx="306">
                  <c:v>1062.587116513766</c:v>
                </c:pt>
                <c:pt idx="307">
                  <c:v>1046.0981414937917</c:v>
                </c:pt>
                <c:pt idx="308">
                  <c:v>1029.5019881361875</c:v>
                </c:pt>
                <c:pt idx="309">
                  <c:v>1012.7979597817588</c:v>
                </c:pt>
                <c:pt idx="310">
                  <c:v>995.98535524302645</c:v>
                </c:pt>
                <c:pt idx="311">
                  <c:v>979.06346877479234</c:v>
                </c:pt>
                <c:pt idx="312">
                  <c:v>962.0315900445147</c:v>
                </c:pt>
                <c:pt idx="313">
                  <c:v>944.88900410249016</c:v>
                </c:pt>
                <c:pt idx="314">
                  <c:v>927.63499135184259</c:v>
                </c:pt>
                <c:pt idx="315">
                  <c:v>910.26882751831556</c:v>
                </c:pt>
                <c:pt idx="316">
                  <c:v>892.78978361987083</c:v>
                </c:pt>
                <c:pt idx="317">
                  <c:v>875.19712593608619</c:v>
                </c:pt>
                <c:pt idx="318">
                  <c:v>857.49011597735705</c:v>
                </c:pt>
                <c:pt idx="319">
                  <c:v>839.66801045389593</c:v>
                </c:pt>
                <c:pt idx="320">
                  <c:v>821.73006124453241</c:v>
                </c:pt>
                <c:pt idx="321">
                  <c:v>803.675515365308</c:v>
                </c:pt>
                <c:pt idx="322">
                  <c:v>785.50361493786852</c:v>
                </c:pt>
                <c:pt idx="323">
                  <c:v>767.21359715765084</c:v>
                </c:pt>
                <c:pt idx="324">
                  <c:v>748.80469426186164</c:v>
                </c:pt>
                <c:pt idx="325">
                  <c:v>730.27613349725004</c:v>
                </c:pt>
                <c:pt idx="326">
                  <c:v>711.6271370876683</c:v>
                </c:pt>
                <c:pt idx="327">
                  <c:v>692.85692220142437</c:v>
                </c:pt>
                <c:pt idx="328">
                  <c:v>673.96470091841968</c:v>
                </c:pt>
                <c:pt idx="329">
                  <c:v>654.94968019707562</c:v>
                </c:pt>
                <c:pt idx="330">
                  <c:v>635.81106184104272</c:v>
                </c:pt>
                <c:pt idx="331">
                  <c:v>616.54804246569563</c:v>
                </c:pt>
                <c:pt idx="332">
                  <c:v>597.15981346440878</c:v>
                </c:pt>
                <c:pt idx="333">
                  <c:v>577.64556097461366</c:v>
                </c:pt>
                <c:pt idx="334">
                  <c:v>558.00446584363488</c:v>
                </c:pt>
                <c:pt idx="335">
                  <c:v>538.2357035943046</c:v>
                </c:pt>
                <c:pt idx="336">
                  <c:v>518.33844439035374</c:v>
                </c:pt>
                <c:pt idx="337">
                  <c:v>498.31185300157722</c:v>
                </c:pt>
                <c:pt idx="338">
                  <c:v>478.15508876877357</c:v>
                </c:pt>
                <c:pt idx="339">
                  <c:v>457.86730556845674</c:v>
                </c:pt>
                <c:pt idx="340">
                  <c:v>437.44765177733785</c:v>
                </c:pt>
                <c:pt idx="341">
                  <c:v>416.89527023657678</c:v>
                </c:pt>
                <c:pt idx="342">
                  <c:v>396.20929821580063</c:v>
                </c:pt>
                <c:pt idx="343">
                  <c:v>375.38886737688949</c:v>
                </c:pt>
                <c:pt idx="344">
                  <c:v>354.43310373752541</c:v>
                </c:pt>
                <c:pt idx="345">
                  <c:v>333.34112763450548</c:v>
                </c:pt>
                <c:pt idx="346">
                  <c:v>312.1120536868159</c:v>
                </c:pt>
                <c:pt idx="347">
                  <c:v>290.74499075846632</c:v>
                </c:pt>
                <c:pt idx="348">
                  <c:v>269.23904192108256</c:v>
                </c:pt>
                <c:pt idx="349">
                  <c:v>247.59330441625571</c:v>
                </c:pt>
                <c:pt idx="350">
                  <c:v>225.80686961764752</c:v>
                </c:pt>
                <c:pt idx="351">
                  <c:v>203.8788229928484</c:v>
                </c:pt>
                <c:pt idx="352">
                  <c:v>181.80824406498803</c:v>
                </c:pt>
                <c:pt idx="353">
                  <c:v>159.59420637409661</c:v>
                </c:pt>
                <c:pt idx="354">
                  <c:v>137.2357774382144</c:v>
                </c:pt>
                <c:pt idx="355">
                  <c:v>114.73201871424892</c:v>
                </c:pt>
                <c:pt idx="356">
                  <c:v>92.081985558577699</c:v>
                </c:pt>
                <c:pt idx="357">
                  <c:v>69.284727187394608</c:v>
                </c:pt>
                <c:pt idx="358">
                  <c:v>46.339286636798825</c:v>
                </c:pt>
                <c:pt idx="359">
                  <c:v>23.244700722624174</c:v>
                </c:pt>
              </c:numCache>
            </c:numRef>
          </c:val>
          <c:smooth val="0"/>
          <c:extLst>
            <c:ext xmlns:c16="http://schemas.microsoft.com/office/drawing/2014/chart" uri="{C3380CC4-5D6E-409C-BE32-E72D297353CC}">
              <c16:uniqueId val="{00000002-CB3B-4410-9AB5-5D65FA74DFCC}"/>
            </c:ext>
          </c:extLst>
        </c:ser>
        <c:dLbls>
          <c:showLegendKey val="0"/>
          <c:showVal val="0"/>
          <c:showCatName val="0"/>
          <c:showSerName val="0"/>
          <c:showPercent val="0"/>
          <c:showBubbleSize val="0"/>
        </c:dLbls>
        <c:smooth val="0"/>
        <c:axId val="124966400"/>
        <c:axId val="124968320"/>
      </c:lineChart>
      <c:catAx>
        <c:axId val="124966400"/>
        <c:scaling>
          <c:orientation val="minMax"/>
        </c:scaling>
        <c:delete val="0"/>
        <c:axPos val="b"/>
        <c:title>
          <c:tx>
            <c:rich>
              <a:bodyPr/>
              <a:lstStyle/>
              <a:p>
                <a:pPr>
                  <a:defRPr/>
                </a:pPr>
                <a:r>
                  <a:rPr lang="en-US"/>
                  <a:t>Months</a:t>
                </a:r>
              </a:p>
            </c:rich>
          </c:tx>
          <c:overlay val="0"/>
        </c:title>
        <c:majorTickMark val="out"/>
        <c:minorTickMark val="none"/>
        <c:tickLblPos val="nextTo"/>
        <c:crossAx val="124968320"/>
        <c:crosses val="autoZero"/>
        <c:auto val="1"/>
        <c:lblAlgn val="ctr"/>
        <c:lblOffset val="100"/>
        <c:tickLblSkip val="89"/>
        <c:tickMarkSkip val="10"/>
        <c:noMultiLvlLbl val="0"/>
      </c:catAx>
      <c:valAx>
        <c:axId val="124968320"/>
        <c:scaling>
          <c:orientation val="minMax"/>
        </c:scaling>
        <c:delete val="0"/>
        <c:axPos val="l"/>
        <c:majorGridlines/>
        <c:numFmt formatCode="_(* #,##0_);_(* \(#,##0\);_(* &quot;-&quot;_);_(@_)" sourceLinked="0"/>
        <c:majorTickMark val="out"/>
        <c:minorTickMark val="none"/>
        <c:tickLblPos val="nextTo"/>
        <c:crossAx val="124966400"/>
        <c:crossesAt val="1"/>
        <c:crossBetween val="between"/>
      </c:valAx>
    </c:plotArea>
    <c:legend>
      <c:legendPos val="r"/>
      <c:layout>
        <c:manualLayout>
          <c:xMode val="edge"/>
          <c:yMode val="edge"/>
          <c:x val="0.15316120100372069"/>
          <c:y val="0.38872286930143723"/>
          <c:w val="0.24829785175138797"/>
          <c:h val="0.18834825654969287"/>
        </c:manualLayout>
      </c:layout>
      <c:overlay val="1"/>
    </c:legend>
    <c:plotVisOnly val="1"/>
    <c:dispBlanksAs val="gap"/>
    <c:showDLblsOverMax val="0"/>
  </c:chart>
  <c:txPr>
    <a:bodyPr/>
    <a:lstStyle/>
    <a:p>
      <a:pPr>
        <a:defRPr sz="1200" b="1" i="0" baseline="0">
          <a:latin typeface="Bookman Old Style" panose="02050604050505020204" pitchFamily="18"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2400" baseline="0"/>
              <a:t>Prepayment Conventions</a:t>
            </a:r>
          </a:p>
        </c:rich>
      </c:tx>
      <c:overlay val="1"/>
    </c:title>
    <c:autoTitleDeleted val="0"/>
    <c:plotArea>
      <c:layout/>
      <c:lineChart>
        <c:grouping val="standard"/>
        <c:varyColors val="0"/>
        <c:ser>
          <c:idx val="2"/>
          <c:order val="0"/>
          <c:tx>
            <c:strRef>
              <c:f>[3]Data!$G$2:$G$3</c:f>
              <c:strCache>
                <c:ptCount val="1"/>
                <c:pt idx="0">
                  <c:v>200 PSA</c:v>
                </c:pt>
              </c:strCache>
            </c:strRef>
          </c:tx>
          <c:spPr>
            <a:ln w="57150"/>
          </c:spPr>
          <c:marker>
            <c:symbol val="none"/>
          </c:marker>
          <c:val>
            <c:numRef>
              <c:f>[3]Data!$G$4:$G$63</c:f>
              <c:numCache>
                <c:formatCode>General</c:formatCode>
                <c:ptCount val="60"/>
                <c:pt idx="0">
                  <c:v>4.0000000000000001E-3</c:v>
                </c:pt>
                <c:pt idx="1">
                  <c:v>8.0000000000000002E-3</c:v>
                </c:pt>
                <c:pt idx="2">
                  <c:v>1.2E-2</c:v>
                </c:pt>
                <c:pt idx="3">
                  <c:v>1.6E-2</c:v>
                </c:pt>
                <c:pt idx="4">
                  <c:v>0.02</c:v>
                </c:pt>
                <c:pt idx="5">
                  <c:v>2.4E-2</c:v>
                </c:pt>
                <c:pt idx="6">
                  <c:v>2.8000000000000001E-2</c:v>
                </c:pt>
                <c:pt idx="7">
                  <c:v>3.2000000000000001E-2</c:v>
                </c:pt>
                <c:pt idx="8">
                  <c:v>3.6000000000000004E-2</c:v>
                </c:pt>
                <c:pt idx="9">
                  <c:v>0.04</c:v>
                </c:pt>
                <c:pt idx="10">
                  <c:v>4.3999999999999997E-2</c:v>
                </c:pt>
                <c:pt idx="11">
                  <c:v>4.8000000000000001E-2</c:v>
                </c:pt>
                <c:pt idx="12">
                  <c:v>5.2000000000000005E-2</c:v>
                </c:pt>
                <c:pt idx="13">
                  <c:v>5.6000000000000001E-2</c:v>
                </c:pt>
                <c:pt idx="14">
                  <c:v>5.9999999999999991E-2</c:v>
                </c:pt>
                <c:pt idx="15">
                  <c:v>6.4000000000000001E-2</c:v>
                </c:pt>
                <c:pt idx="16">
                  <c:v>6.8000000000000005E-2</c:v>
                </c:pt>
                <c:pt idx="17">
                  <c:v>7.2000000000000008E-2</c:v>
                </c:pt>
                <c:pt idx="18">
                  <c:v>7.5999999999999998E-2</c:v>
                </c:pt>
                <c:pt idx="19">
                  <c:v>0.08</c:v>
                </c:pt>
                <c:pt idx="20">
                  <c:v>8.4000000000000005E-2</c:v>
                </c:pt>
                <c:pt idx="21">
                  <c:v>8.7999999999999995E-2</c:v>
                </c:pt>
                <c:pt idx="22">
                  <c:v>9.1999999999999998E-2</c:v>
                </c:pt>
                <c:pt idx="23">
                  <c:v>9.6000000000000002E-2</c:v>
                </c:pt>
                <c:pt idx="24">
                  <c:v>0.1</c:v>
                </c:pt>
                <c:pt idx="25">
                  <c:v>0.10400000000000001</c:v>
                </c:pt>
                <c:pt idx="26">
                  <c:v>0.108</c:v>
                </c:pt>
                <c:pt idx="27">
                  <c:v>0.112</c:v>
                </c:pt>
                <c:pt idx="28">
                  <c:v>0.11600000000000001</c:v>
                </c:pt>
                <c:pt idx="29">
                  <c:v>0.11999999999999998</c:v>
                </c:pt>
                <c:pt idx="30">
                  <c:v>0.12</c:v>
                </c:pt>
                <c:pt idx="31">
                  <c:v>0.12</c:v>
                </c:pt>
                <c:pt idx="32">
                  <c:v>0.12</c:v>
                </c:pt>
                <c:pt idx="33">
                  <c:v>0.12</c:v>
                </c:pt>
                <c:pt idx="34">
                  <c:v>0.12</c:v>
                </c:pt>
                <c:pt idx="35">
                  <c:v>0.12</c:v>
                </c:pt>
                <c:pt idx="36">
                  <c:v>0.12</c:v>
                </c:pt>
                <c:pt idx="37">
                  <c:v>0.12</c:v>
                </c:pt>
                <c:pt idx="38">
                  <c:v>0.12</c:v>
                </c:pt>
                <c:pt idx="39">
                  <c:v>0.12</c:v>
                </c:pt>
                <c:pt idx="40">
                  <c:v>0.12</c:v>
                </c:pt>
                <c:pt idx="41">
                  <c:v>0.12</c:v>
                </c:pt>
                <c:pt idx="42">
                  <c:v>0.12</c:v>
                </c:pt>
                <c:pt idx="43">
                  <c:v>0.12</c:v>
                </c:pt>
                <c:pt idx="44">
                  <c:v>0.12</c:v>
                </c:pt>
                <c:pt idx="45">
                  <c:v>0.12</c:v>
                </c:pt>
                <c:pt idx="46">
                  <c:v>0.12</c:v>
                </c:pt>
                <c:pt idx="47">
                  <c:v>0.12</c:v>
                </c:pt>
                <c:pt idx="48">
                  <c:v>0.12</c:v>
                </c:pt>
                <c:pt idx="49">
                  <c:v>0.12</c:v>
                </c:pt>
                <c:pt idx="50">
                  <c:v>0.12</c:v>
                </c:pt>
                <c:pt idx="51">
                  <c:v>0.12</c:v>
                </c:pt>
                <c:pt idx="52">
                  <c:v>0.12</c:v>
                </c:pt>
                <c:pt idx="53">
                  <c:v>0.12</c:v>
                </c:pt>
                <c:pt idx="54">
                  <c:v>0.12</c:v>
                </c:pt>
                <c:pt idx="55">
                  <c:v>0.12</c:v>
                </c:pt>
                <c:pt idx="56">
                  <c:v>0.12</c:v>
                </c:pt>
                <c:pt idx="57">
                  <c:v>0.12</c:v>
                </c:pt>
                <c:pt idx="58">
                  <c:v>0.12</c:v>
                </c:pt>
                <c:pt idx="59">
                  <c:v>0.12</c:v>
                </c:pt>
              </c:numCache>
            </c:numRef>
          </c:val>
          <c:smooth val="0"/>
          <c:extLst>
            <c:ext xmlns:c16="http://schemas.microsoft.com/office/drawing/2014/chart" uri="{C3380CC4-5D6E-409C-BE32-E72D297353CC}">
              <c16:uniqueId val="{00000000-514B-4C15-84F4-3974462C2CBE}"/>
            </c:ext>
          </c:extLst>
        </c:ser>
        <c:ser>
          <c:idx val="1"/>
          <c:order val="1"/>
          <c:tx>
            <c:strRef>
              <c:f>[3]Data!$C$2:$C$3</c:f>
              <c:strCache>
                <c:ptCount val="1"/>
                <c:pt idx="0">
                  <c:v>0.06 CPR</c:v>
                </c:pt>
              </c:strCache>
            </c:strRef>
          </c:tx>
          <c:spPr>
            <a:ln w="38100"/>
          </c:spPr>
          <c:marker>
            <c:symbol val="none"/>
          </c:marker>
          <c:val>
            <c:numRef>
              <c:f>[3]Data!$C$4:$C$63</c:f>
              <c:numCache>
                <c:formatCode>General</c:formatCode>
                <c:ptCount val="60"/>
                <c:pt idx="0">
                  <c:v>0.06</c:v>
                </c:pt>
                <c:pt idx="1">
                  <c:v>0.06</c:v>
                </c:pt>
                <c:pt idx="2">
                  <c:v>0.06</c:v>
                </c:pt>
                <c:pt idx="3">
                  <c:v>0.06</c:v>
                </c:pt>
                <c:pt idx="4">
                  <c:v>0.06</c:v>
                </c:pt>
                <c:pt idx="5">
                  <c:v>0.06</c:v>
                </c:pt>
                <c:pt idx="6">
                  <c:v>0.06</c:v>
                </c:pt>
                <c:pt idx="7">
                  <c:v>0.06</c:v>
                </c:pt>
                <c:pt idx="8">
                  <c:v>0.06</c:v>
                </c:pt>
                <c:pt idx="9">
                  <c:v>0.06</c:v>
                </c:pt>
                <c:pt idx="10">
                  <c:v>0.06</c:v>
                </c:pt>
                <c:pt idx="11">
                  <c:v>0.06</c:v>
                </c:pt>
                <c:pt idx="12">
                  <c:v>0.06</c:v>
                </c:pt>
                <c:pt idx="13">
                  <c:v>0.06</c:v>
                </c:pt>
                <c:pt idx="14">
                  <c:v>0.06</c:v>
                </c:pt>
                <c:pt idx="15">
                  <c:v>0.06</c:v>
                </c:pt>
                <c:pt idx="16">
                  <c:v>0.06</c:v>
                </c:pt>
                <c:pt idx="17">
                  <c:v>0.06</c:v>
                </c:pt>
                <c:pt idx="18">
                  <c:v>0.06</c:v>
                </c:pt>
                <c:pt idx="19">
                  <c:v>0.06</c:v>
                </c:pt>
                <c:pt idx="20">
                  <c:v>0.06</c:v>
                </c:pt>
                <c:pt idx="21">
                  <c:v>0.06</c:v>
                </c:pt>
                <c:pt idx="22">
                  <c:v>0.06</c:v>
                </c:pt>
                <c:pt idx="23">
                  <c:v>0.06</c:v>
                </c:pt>
                <c:pt idx="24">
                  <c:v>0.06</c:v>
                </c:pt>
                <c:pt idx="25">
                  <c:v>0.06</c:v>
                </c:pt>
                <c:pt idx="26">
                  <c:v>0.06</c:v>
                </c:pt>
                <c:pt idx="27">
                  <c:v>0.06</c:v>
                </c:pt>
                <c:pt idx="28">
                  <c:v>0.06</c:v>
                </c:pt>
                <c:pt idx="29">
                  <c:v>0.06</c:v>
                </c:pt>
                <c:pt idx="30">
                  <c:v>0.06</c:v>
                </c:pt>
                <c:pt idx="31">
                  <c:v>0.06</c:v>
                </c:pt>
                <c:pt idx="32">
                  <c:v>0.06</c:v>
                </c:pt>
                <c:pt idx="33">
                  <c:v>0.06</c:v>
                </c:pt>
                <c:pt idx="34">
                  <c:v>0.06</c:v>
                </c:pt>
                <c:pt idx="35">
                  <c:v>0.06</c:v>
                </c:pt>
                <c:pt idx="36">
                  <c:v>0.06</c:v>
                </c:pt>
                <c:pt idx="37">
                  <c:v>0.06</c:v>
                </c:pt>
                <c:pt idx="38">
                  <c:v>0.06</c:v>
                </c:pt>
                <c:pt idx="39">
                  <c:v>0.06</c:v>
                </c:pt>
                <c:pt idx="40">
                  <c:v>0.06</c:v>
                </c:pt>
                <c:pt idx="41">
                  <c:v>0.06</c:v>
                </c:pt>
                <c:pt idx="42">
                  <c:v>0.06</c:v>
                </c:pt>
                <c:pt idx="43">
                  <c:v>0.06</c:v>
                </c:pt>
                <c:pt idx="44">
                  <c:v>0.06</c:v>
                </c:pt>
                <c:pt idx="45">
                  <c:v>0.06</c:v>
                </c:pt>
                <c:pt idx="46">
                  <c:v>0.06</c:v>
                </c:pt>
                <c:pt idx="47">
                  <c:v>0.06</c:v>
                </c:pt>
                <c:pt idx="48">
                  <c:v>0.06</c:v>
                </c:pt>
                <c:pt idx="49">
                  <c:v>0.06</c:v>
                </c:pt>
                <c:pt idx="50">
                  <c:v>0.06</c:v>
                </c:pt>
                <c:pt idx="51">
                  <c:v>0.06</c:v>
                </c:pt>
                <c:pt idx="52">
                  <c:v>0.06</c:v>
                </c:pt>
                <c:pt idx="53">
                  <c:v>0.06</c:v>
                </c:pt>
                <c:pt idx="54">
                  <c:v>0.06</c:v>
                </c:pt>
                <c:pt idx="55">
                  <c:v>0.06</c:v>
                </c:pt>
                <c:pt idx="56">
                  <c:v>0.06</c:v>
                </c:pt>
                <c:pt idx="57">
                  <c:v>0.06</c:v>
                </c:pt>
                <c:pt idx="58">
                  <c:v>0.06</c:v>
                </c:pt>
                <c:pt idx="59">
                  <c:v>0.06</c:v>
                </c:pt>
              </c:numCache>
            </c:numRef>
          </c:val>
          <c:smooth val="0"/>
          <c:extLst>
            <c:ext xmlns:c16="http://schemas.microsoft.com/office/drawing/2014/chart" uri="{C3380CC4-5D6E-409C-BE32-E72D297353CC}">
              <c16:uniqueId val="{00000001-514B-4C15-84F4-3974462C2CBE}"/>
            </c:ext>
          </c:extLst>
        </c:ser>
        <c:ser>
          <c:idx val="0"/>
          <c:order val="2"/>
          <c:tx>
            <c:strRef>
              <c:f>[3]Data!$E$2:$E$3</c:f>
              <c:strCache>
                <c:ptCount val="1"/>
                <c:pt idx="0">
                  <c:v>100 PSA</c:v>
                </c:pt>
              </c:strCache>
            </c:strRef>
          </c:tx>
          <c:spPr>
            <a:ln w="76200"/>
          </c:spPr>
          <c:marker>
            <c:symbol val="none"/>
          </c:marker>
          <c:val>
            <c:numRef>
              <c:f>[3]Data!$E$4:$E$63</c:f>
              <c:numCache>
                <c:formatCode>General</c:formatCode>
                <c:ptCount val="60"/>
                <c:pt idx="0">
                  <c:v>2E-3</c:v>
                </c:pt>
                <c:pt idx="1">
                  <c:v>4.0000000000000001E-3</c:v>
                </c:pt>
                <c:pt idx="2">
                  <c:v>6.0000000000000001E-3</c:v>
                </c:pt>
                <c:pt idx="3">
                  <c:v>8.0000000000000002E-3</c:v>
                </c:pt>
                <c:pt idx="4">
                  <c:v>0.01</c:v>
                </c:pt>
                <c:pt idx="5">
                  <c:v>1.2E-2</c:v>
                </c:pt>
                <c:pt idx="6">
                  <c:v>1.4E-2</c:v>
                </c:pt>
                <c:pt idx="7">
                  <c:v>1.6E-2</c:v>
                </c:pt>
                <c:pt idx="8">
                  <c:v>1.8000000000000002E-2</c:v>
                </c:pt>
                <c:pt idx="9">
                  <c:v>0.02</c:v>
                </c:pt>
                <c:pt idx="10">
                  <c:v>2.1999999999999999E-2</c:v>
                </c:pt>
                <c:pt idx="11">
                  <c:v>2.4E-2</c:v>
                </c:pt>
                <c:pt idx="12">
                  <c:v>2.6000000000000002E-2</c:v>
                </c:pt>
                <c:pt idx="13">
                  <c:v>2.8000000000000001E-2</c:v>
                </c:pt>
                <c:pt idx="14">
                  <c:v>2.9999999999999995E-2</c:v>
                </c:pt>
                <c:pt idx="15">
                  <c:v>3.2000000000000001E-2</c:v>
                </c:pt>
                <c:pt idx="16">
                  <c:v>3.4000000000000002E-2</c:v>
                </c:pt>
                <c:pt idx="17">
                  <c:v>3.6000000000000004E-2</c:v>
                </c:pt>
                <c:pt idx="18">
                  <c:v>3.7999999999999999E-2</c:v>
                </c:pt>
                <c:pt idx="19">
                  <c:v>0.04</c:v>
                </c:pt>
                <c:pt idx="20">
                  <c:v>4.2000000000000003E-2</c:v>
                </c:pt>
                <c:pt idx="21">
                  <c:v>4.3999999999999997E-2</c:v>
                </c:pt>
                <c:pt idx="22">
                  <c:v>4.5999999999999999E-2</c:v>
                </c:pt>
                <c:pt idx="23">
                  <c:v>4.8000000000000001E-2</c:v>
                </c:pt>
                <c:pt idx="24">
                  <c:v>0.05</c:v>
                </c:pt>
                <c:pt idx="25">
                  <c:v>5.2000000000000005E-2</c:v>
                </c:pt>
                <c:pt idx="26">
                  <c:v>5.3999999999999999E-2</c:v>
                </c:pt>
                <c:pt idx="27">
                  <c:v>5.6000000000000001E-2</c:v>
                </c:pt>
                <c:pt idx="28">
                  <c:v>5.8000000000000003E-2</c:v>
                </c:pt>
                <c:pt idx="29">
                  <c:v>5.9999999999999991E-2</c:v>
                </c:pt>
                <c:pt idx="30">
                  <c:v>0.06</c:v>
                </c:pt>
                <c:pt idx="31">
                  <c:v>0.06</c:v>
                </c:pt>
                <c:pt idx="32">
                  <c:v>0.06</c:v>
                </c:pt>
                <c:pt idx="33">
                  <c:v>0.06</c:v>
                </c:pt>
                <c:pt idx="34">
                  <c:v>0.06</c:v>
                </c:pt>
                <c:pt idx="35">
                  <c:v>0.06</c:v>
                </c:pt>
                <c:pt idx="36">
                  <c:v>0.06</c:v>
                </c:pt>
                <c:pt idx="37">
                  <c:v>0.06</c:v>
                </c:pt>
                <c:pt idx="38">
                  <c:v>0.06</c:v>
                </c:pt>
                <c:pt idx="39">
                  <c:v>0.06</c:v>
                </c:pt>
                <c:pt idx="40">
                  <c:v>0.06</c:v>
                </c:pt>
                <c:pt idx="41">
                  <c:v>0.06</c:v>
                </c:pt>
                <c:pt idx="42">
                  <c:v>0.06</c:v>
                </c:pt>
                <c:pt idx="43">
                  <c:v>0.06</c:v>
                </c:pt>
                <c:pt idx="44">
                  <c:v>0.06</c:v>
                </c:pt>
                <c:pt idx="45">
                  <c:v>0.06</c:v>
                </c:pt>
                <c:pt idx="46">
                  <c:v>0.06</c:v>
                </c:pt>
                <c:pt idx="47">
                  <c:v>0.06</c:v>
                </c:pt>
                <c:pt idx="48">
                  <c:v>0.06</c:v>
                </c:pt>
                <c:pt idx="49">
                  <c:v>0.06</c:v>
                </c:pt>
                <c:pt idx="50">
                  <c:v>0.06</c:v>
                </c:pt>
                <c:pt idx="51">
                  <c:v>0.06</c:v>
                </c:pt>
                <c:pt idx="52">
                  <c:v>0.06</c:v>
                </c:pt>
                <c:pt idx="53">
                  <c:v>0.06</c:v>
                </c:pt>
                <c:pt idx="54">
                  <c:v>0.06</c:v>
                </c:pt>
                <c:pt idx="55">
                  <c:v>0.06</c:v>
                </c:pt>
                <c:pt idx="56">
                  <c:v>0.06</c:v>
                </c:pt>
                <c:pt idx="57">
                  <c:v>0.06</c:v>
                </c:pt>
                <c:pt idx="58">
                  <c:v>0.06</c:v>
                </c:pt>
                <c:pt idx="59">
                  <c:v>0.06</c:v>
                </c:pt>
              </c:numCache>
            </c:numRef>
          </c:val>
          <c:smooth val="0"/>
          <c:extLst>
            <c:ext xmlns:c16="http://schemas.microsoft.com/office/drawing/2014/chart" uri="{C3380CC4-5D6E-409C-BE32-E72D297353CC}">
              <c16:uniqueId val="{00000002-514B-4C15-84F4-3974462C2CBE}"/>
            </c:ext>
          </c:extLst>
        </c:ser>
        <c:dLbls>
          <c:showLegendKey val="0"/>
          <c:showVal val="0"/>
          <c:showCatName val="0"/>
          <c:showSerName val="0"/>
          <c:showPercent val="0"/>
          <c:showBubbleSize val="0"/>
        </c:dLbls>
        <c:smooth val="0"/>
        <c:axId val="143332864"/>
        <c:axId val="143334784"/>
      </c:lineChart>
      <c:catAx>
        <c:axId val="143332864"/>
        <c:scaling>
          <c:orientation val="minMax"/>
        </c:scaling>
        <c:delete val="0"/>
        <c:axPos val="b"/>
        <c:title>
          <c:tx>
            <c:rich>
              <a:bodyPr/>
              <a:lstStyle/>
              <a:p>
                <a:pPr>
                  <a:defRPr/>
                </a:pPr>
                <a:r>
                  <a:rPr lang="en-US"/>
                  <a:t>Mortgage Age (months)</a:t>
                </a:r>
              </a:p>
            </c:rich>
          </c:tx>
          <c:overlay val="0"/>
        </c:title>
        <c:majorTickMark val="out"/>
        <c:minorTickMark val="none"/>
        <c:tickLblPos val="nextTo"/>
        <c:crossAx val="143334784"/>
        <c:crosses val="autoZero"/>
        <c:auto val="1"/>
        <c:lblAlgn val="ctr"/>
        <c:lblOffset val="100"/>
        <c:noMultiLvlLbl val="0"/>
      </c:catAx>
      <c:valAx>
        <c:axId val="143334784"/>
        <c:scaling>
          <c:orientation val="minMax"/>
        </c:scaling>
        <c:delete val="0"/>
        <c:axPos val="l"/>
        <c:majorGridlines/>
        <c:title>
          <c:tx>
            <c:rich>
              <a:bodyPr rot="-5400000" vert="horz"/>
              <a:lstStyle/>
              <a:p>
                <a:pPr>
                  <a:defRPr/>
                </a:pPr>
                <a:r>
                  <a:rPr lang="en-US"/>
                  <a:t>CPR (% per year)</a:t>
                </a:r>
              </a:p>
            </c:rich>
          </c:tx>
          <c:overlay val="0"/>
        </c:title>
        <c:numFmt formatCode="General" sourceLinked="1"/>
        <c:majorTickMark val="out"/>
        <c:minorTickMark val="none"/>
        <c:tickLblPos val="nextTo"/>
        <c:crossAx val="143332864"/>
        <c:crosses val="autoZero"/>
        <c:crossBetween val="between"/>
      </c:valAx>
    </c:plotArea>
    <c:legend>
      <c:legendPos val="r"/>
      <c:layout>
        <c:manualLayout>
          <c:xMode val="edge"/>
          <c:yMode val="edge"/>
          <c:x val="0.62204063949661892"/>
          <c:y val="0.29375184067791654"/>
          <c:w val="0.22881917833274043"/>
          <c:h val="0.18226432484729133"/>
        </c:manualLayout>
      </c:layout>
      <c:overlay val="1"/>
    </c:legend>
    <c:plotVisOnly val="1"/>
    <c:dispBlanksAs val="gap"/>
    <c:showDLblsOverMax val="0"/>
  </c:chart>
  <c:txPr>
    <a:bodyPr/>
    <a:lstStyle/>
    <a:p>
      <a:pPr>
        <a:defRPr sz="1200" b="1" i="0" baseline="0">
          <a:latin typeface="Bookman Old Style" panose="02050604050505020204" pitchFamily="18" charset="0"/>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chart" Target="../charts/chart1.xml"/><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2</xdr:col>
      <xdr:colOff>1691641</xdr:colOff>
      <xdr:row>0</xdr:row>
      <xdr:rowOff>1</xdr:rowOff>
    </xdr:from>
    <xdr:to>
      <xdr:col>10</xdr:col>
      <xdr:colOff>327331</xdr:colOff>
      <xdr:row>26</xdr:row>
      <xdr:rowOff>106681</xdr:rowOff>
    </xdr:to>
    <xdr:pic>
      <xdr:nvPicPr>
        <xdr:cNvPr id="2" name="Picture 1">
          <a:extLst>
            <a:ext uri="{FF2B5EF4-FFF2-40B4-BE49-F238E27FC236}">
              <a16:creationId xmlns:a16="http://schemas.microsoft.com/office/drawing/2014/main" id="{D2B1144B-94CD-B8D5-6E2C-F68F4A596069}"/>
            </a:ext>
          </a:extLst>
        </xdr:cNvPr>
        <xdr:cNvPicPr>
          <a:picLocks noChangeAspect="1"/>
        </xdr:cNvPicPr>
      </xdr:nvPicPr>
      <xdr:blipFill>
        <a:blip xmlns:r="http://schemas.openxmlformats.org/officeDocument/2006/relationships" r:embed="rId1"/>
        <a:stretch>
          <a:fillRect/>
        </a:stretch>
      </xdr:blipFill>
      <xdr:spPr>
        <a:xfrm>
          <a:off x="7124701" y="1"/>
          <a:ext cx="5379390" cy="4907280"/>
        </a:xfrm>
        <a:prstGeom prst="rect">
          <a:avLst/>
        </a:prstGeom>
      </xdr:spPr>
    </xdr:pic>
    <xdr:clientData/>
  </xdr:twoCellAnchor>
  <xdr:twoCellAnchor editAs="oneCell">
    <xdr:from>
      <xdr:col>4</xdr:col>
      <xdr:colOff>66313</xdr:colOff>
      <xdr:row>26</xdr:row>
      <xdr:rowOff>38100</xdr:rowOff>
    </xdr:from>
    <xdr:to>
      <xdr:col>11</xdr:col>
      <xdr:colOff>37215</xdr:colOff>
      <xdr:row>40</xdr:row>
      <xdr:rowOff>59984</xdr:rowOff>
    </xdr:to>
    <xdr:pic>
      <xdr:nvPicPr>
        <xdr:cNvPr id="3" name="Picture 2">
          <a:extLst>
            <a:ext uri="{FF2B5EF4-FFF2-40B4-BE49-F238E27FC236}">
              <a16:creationId xmlns:a16="http://schemas.microsoft.com/office/drawing/2014/main" id="{96B2B952-52FA-7282-AD27-2CBBA4392151}"/>
            </a:ext>
          </a:extLst>
        </xdr:cNvPr>
        <xdr:cNvPicPr>
          <a:picLocks noChangeAspect="1"/>
        </xdr:cNvPicPr>
      </xdr:nvPicPr>
      <xdr:blipFill>
        <a:blip xmlns:r="http://schemas.openxmlformats.org/officeDocument/2006/relationships" r:embed="rId2"/>
        <a:stretch>
          <a:fillRect/>
        </a:stretch>
      </xdr:blipFill>
      <xdr:spPr>
        <a:xfrm>
          <a:off x="8585473" y="4838700"/>
          <a:ext cx="4238102" cy="38623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381000</xdr:colOff>
      <xdr:row>4</xdr:row>
      <xdr:rowOff>45720</xdr:rowOff>
    </xdr:from>
    <xdr:ext cx="3383280" cy="1899900"/>
    <xdr:graphicFrame macro="">
      <xdr:nvGraphicFramePr>
        <xdr:cNvPr id="2" name="Chart 1">
          <a:extLst>
            <a:ext uri="{FF2B5EF4-FFF2-40B4-BE49-F238E27FC236}">
              <a16:creationId xmlns:a16="http://schemas.microsoft.com/office/drawing/2014/main" id="{0DA39FAF-91FB-4C9D-A2AA-8E2CB23616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twoCellAnchor editAs="oneCell">
    <xdr:from>
      <xdr:col>9</xdr:col>
      <xdr:colOff>556260</xdr:colOff>
      <xdr:row>2</xdr:row>
      <xdr:rowOff>58452</xdr:rowOff>
    </xdr:from>
    <xdr:to>
      <xdr:col>18</xdr:col>
      <xdr:colOff>79260</xdr:colOff>
      <xdr:row>18</xdr:row>
      <xdr:rowOff>164529</xdr:rowOff>
    </xdr:to>
    <xdr:pic>
      <xdr:nvPicPr>
        <xdr:cNvPr id="3" name="Picture 2">
          <a:extLst>
            <a:ext uri="{FF2B5EF4-FFF2-40B4-BE49-F238E27FC236}">
              <a16:creationId xmlns:a16="http://schemas.microsoft.com/office/drawing/2014/main" id="{4F6E1B40-5882-B5BC-DB03-4EDADD27B9F6}"/>
            </a:ext>
          </a:extLst>
        </xdr:cNvPr>
        <xdr:cNvPicPr>
          <a:picLocks noChangeAspect="1"/>
        </xdr:cNvPicPr>
      </xdr:nvPicPr>
      <xdr:blipFill>
        <a:blip xmlns:r="http://schemas.openxmlformats.org/officeDocument/2006/relationships" r:embed="rId2"/>
        <a:stretch>
          <a:fillRect/>
        </a:stretch>
      </xdr:blipFill>
      <xdr:spPr>
        <a:xfrm>
          <a:off x="7795260" y="508032"/>
          <a:ext cx="5009400" cy="3032157"/>
        </a:xfrm>
        <a:prstGeom prst="rect">
          <a:avLst/>
        </a:prstGeom>
      </xdr:spPr>
    </xdr:pic>
    <xdr:clientData/>
  </xdr:twoCellAnchor>
  <xdr:twoCellAnchor editAs="oneCell">
    <xdr:from>
      <xdr:col>18</xdr:col>
      <xdr:colOff>25500</xdr:colOff>
      <xdr:row>5</xdr:row>
      <xdr:rowOff>30480</xdr:rowOff>
    </xdr:from>
    <xdr:to>
      <xdr:col>21</xdr:col>
      <xdr:colOff>440305</xdr:colOff>
      <xdr:row>19</xdr:row>
      <xdr:rowOff>22860</xdr:rowOff>
    </xdr:to>
    <xdr:pic>
      <xdr:nvPicPr>
        <xdr:cNvPr id="4" name="Picture 3">
          <a:extLst>
            <a:ext uri="{FF2B5EF4-FFF2-40B4-BE49-F238E27FC236}">
              <a16:creationId xmlns:a16="http://schemas.microsoft.com/office/drawing/2014/main" id="{AC8C04B9-23C1-02C5-11D1-2553D2F8E800}"/>
            </a:ext>
          </a:extLst>
        </xdr:cNvPr>
        <xdr:cNvPicPr>
          <a:picLocks noChangeAspect="1"/>
        </xdr:cNvPicPr>
      </xdr:nvPicPr>
      <xdr:blipFill>
        <a:blip xmlns:r="http://schemas.openxmlformats.org/officeDocument/2006/relationships" r:embed="rId3"/>
        <a:stretch>
          <a:fillRect/>
        </a:stretch>
      </xdr:blipFill>
      <xdr:spPr>
        <a:xfrm>
          <a:off x="12750900" y="1028700"/>
          <a:ext cx="2243605" cy="2552700"/>
        </a:xfrm>
        <a:prstGeom prst="rect">
          <a:avLst/>
        </a:prstGeom>
      </xdr:spPr>
    </xdr:pic>
    <xdr:clientData/>
  </xdr:twoCellAnchor>
  <xdr:twoCellAnchor editAs="oneCell">
    <xdr:from>
      <xdr:col>10</xdr:col>
      <xdr:colOff>205740</xdr:colOff>
      <xdr:row>18</xdr:row>
      <xdr:rowOff>167184</xdr:rowOff>
    </xdr:from>
    <xdr:to>
      <xdr:col>18</xdr:col>
      <xdr:colOff>570863</xdr:colOff>
      <xdr:row>32</xdr:row>
      <xdr:rowOff>7620</xdr:rowOff>
    </xdr:to>
    <xdr:pic>
      <xdr:nvPicPr>
        <xdr:cNvPr id="5" name="Picture 4">
          <a:extLst>
            <a:ext uri="{FF2B5EF4-FFF2-40B4-BE49-F238E27FC236}">
              <a16:creationId xmlns:a16="http://schemas.microsoft.com/office/drawing/2014/main" id="{F8E88ADA-9CFA-D8DD-2072-33C2B2406DAE}"/>
            </a:ext>
          </a:extLst>
        </xdr:cNvPr>
        <xdr:cNvPicPr>
          <a:picLocks noChangeAspect="1"/>
        </xdr:cNvPicPr>
      </xdr:nvPicPr>
      <xdr:blipFill>
        <a:blip xmlns:r="http://schemas.openxmlformats.org/officeDocument/2006/relationships" r:embed="rId4"/>
        <a:stretch>
          <a:fillRect/>
        </a:stretch>
      </xdr:blipFill>
      <xdr:spPr>
        <a:xfrm>
          <a:off x="8054340" y="3542844"/>
          <a:ext cx="5241923" cy="248457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6</xdr:col>
      <xdr:colOff>48296</xdr:colOff>
      <xdr:row>9</xdr:row>
      <xdr:rowOff>122090</xdr:rowOff>
    </xdr:to>
    <xdr:pic>
      <xdr:nvPicPr>
        <xdr:cNvPr id="2" name="Picture 1">
          <a:extLst>
            <a:ext uri="{FF2B5EF4-FFF2-40B4-BE49-F238E27FC236}">
              <a16:creationId xmlns:a16="http://schemas.microsoft.com/office/drawing/2014/main" id="{D84A2BDF-64F9-303B-9C56-3AF747F9DB5C}"/>
            </a:ext>
          </a:extLst>
        </xdr:cNvPr>
        <xdr:cNvPicPr>
          <a:picLocks noChangeAspect="1"/>
        </xdr:cNvPicPr>
      </xdr:nvPicPr>
      <xdr:blipFill>
        <a:blip xmlns:r="http://schemas.openxmlformats.org/officeDocument/2006/relationships" r:embed="rId1"/>
        <a:stretch>
          <a:fillRect/>
        </a:stretch>
      </xdr:blipFill>
      <xdr:spPr>
        <a:xfrm>
          <a:off x="609600" y="548640"/>
          <a:ext cx="4810796" cy="1219370"/>
        </a:xfrm>
        <a:prstGeom prst="rect">
          <a:avLst/>
        </a:prstGeom>
      </xdr:spPr>
    </xdr:pic>
    <xdr:clientData/>
  </xdr:twoCellAnchor>
  <xdr:twoCellAnchor editAs="oneCell">
    <xdr:from>
      <xdr:col>1</xdr:col>
      <xdr:colOff>0</xdr:colOff>
      <xdr:row>19</xdr:row>
      <xdr:rowOff>0</xdr:rowOff>
    </xdr:from>
    <xdr:to>
      <xdr:col>6</xdr:col>
      <xdr:colOff>57823</xdr:colOff>
      <xdr:row>36</xdr:row>
      <xdr:rowOff>82360</xdr:rowOff>
    </xdr:to>
    <xdr:pic>
      <xdr:nvPicPr>
        <xdr:cNvPr id="3" name="Picture 2">
          <a:extLst>
            <a:ext uri="{FF2B5EF4-FFF2-40B4-BE49-F238E27FC236}">
              <a16:creationId xmlns:a16="http://schemas.microsoft.com/office/drawing/2014/main" id="{CF8C607F-564A-89EF-9C6E-5BDE18F483C7}"/>
            </a:ext>
          </a:extLst>
        </xdr:cNvPr>
        <xdr:cNvPicPr>
          <a:picLocks noChangeAspect="1"/>
        </xdr:cNvPicPr>
      </xdr:nvPicPr>
      <xdr:blipFill>
        <a:blip xmlns:r="http://schemas.openxmlformats.org/officeDocument/2006/relationships" r:embed="rId2"/>
        <a:stretch>
          <a:fillRect/>
        </a:stretch>
      </xdr:blipFill>
      <xdr:spPr>
        <a:xfrm>
          <a:off x="609600" y="3474720"/>
          <a:ext cx="4820323" cy="3191320"/>
        </a:xfrm>
        <a:prstGeom prst="rect">
          <a:avLst/>
        </a:prstGeom>
      </xdr:spPr>
    </xdr:pic>
    <xdr:clientData/>
  </xdr:twoCellAnchor>
  <xdr:twoCellAnchor editAs="oneCell">
    <xdr:from>
      <xdr:col>0</xdr:col>
      <xdr:colOff>251460</xdr:colOff>
      <xdr:row>47</xdr:row>
      <xdr:rowOff>22860</xdr:rowOff>
    </xdr:from>
    <xdr:to>
      <xdr:col>5</xdr:col>
      <xdr:colOff>852209</xdr:colOff>
      <xdr:row>61</xdr:row>
      <xdr:rowOff>168018</xdr:rowOff>
    </xdr:to>
    <xdr:pic>
      <xdr:nvPicPr>
        <xdr:cNvPr id="4" name="Picture 3">
          <a:extLst>
            <a:ext uri="{FF2B5EF4-FFF2-40B4-BE49-F238E27FC236}">
              <a16:creationId xmlns:a16="http://schemas.microsoft.com/office/drawing/2014/main" id="{5F257993-435A-E87B-34AE-FA0F9E877B29}"/>
            </a:ext>
          </a:extLst>
        </xdr:cNvPr>
        <xdr:cNvPicPr>
          <a:picLocks noChangeAspect="1"/>
        </xdr:cNvPicPr>
      </xdr:nvPicPr>
      <xdr:blipFill>
        <a:blip xmlns:r="http://schemas.openxmlformats.org/officeDocument/2006/relationships" r:embed="rId3"/>
        <a:stretch>
          <a:fillRect/>
        </a:stretch>
      </xdr:blipFill>
      <xdr:spPr>
        <a:xfrm>
          <a:off x="251460" y="8618220"/>
          <a:ext cx="4829849" cy="2705478"/>
        </a:xfrm>
        <a:prstGeom prst="rect">
          <a:avLst/>
        </a:prstGeom>
      </xdr:spPr>
    </xdr:pic>
    <xdr:clientData/>
  </xdr:twoCellAnchor>
  <xdr:twoCellAnchor editAs="oneCell">
    <xdr:from>
      <xdr:col>0</xdr:col>
      <xdr:colOff>342900</xdr:colOff>
      <xdr:row>62</xdr:row>
      <xdr:rowOff>91440</xdr:rowOff>
    </xdr:from>
    <xdr:to>
      <xdr:col>5</xdr:col>
      <xdr:colOff>857912</xdr:colOff>
      <xdr:row>81</xdr:row>
      <xdr:rowOff>170041</xdr:rowOff>
    </xdr:to>
    <xdr:pic>
      <xdr:nvPicPr>
        <xdr:cNvPr id="5" name="Picture 4">
          <a:extLst>
            <a:ext uri="{FF2B5EF4-FFF2-40B4-BE49-F238E27FC236}">
              <a16:creationId xmlns:a16="http://schemas.microsoft.com/office/drawing/2014/main" id="{32BFE6AD-1D7E-6492-CB90-B25DF8C3AC66}"/>
            </a:ext>
          </a:extLst>
        </xdr:cNvPr>
        <xdr:cNvPicPr>
          <a:picLocks noChangeAspect="1"/>
        </xdr:cNvPicPr>
      </xdr:nvPicPr>
      <xdr:blipFill>
        <a:blip xmlns:r="http://schemas.openxmlformats.org/officeDocument/2006/relationships" r:embed="rId4"/>
        <a:stretch>
          <a:fillRect/>
        </a:stretch>
      </xdr:blipFill>
      <xdr:spPr>
        <a:xfrm>
          <a:off x="342900" y="11430000"/>
          <a:ext cx="4744112" cy="355332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absoluteAnchor>
    <xdr:pos x="10264140" y="1051560"/>
    <xdr:ext cx="8651875" cy="6278563"/>
    <xdr:graphicFrame macro="">
      <xdr:nvGraphicFramePr>
        <xdr:cNvPr id="2" name="Chart 1">
          <a:extLst>
            <a:ext uri="{FF2B5EF4-FFF2-40B4-BE49-F238E27FC236}">
              <a16:creationId xmlns:a16="http://schemas.microsoft.com/office/drawing/2014/main" id="{004DD2CA-6016-457D-AD1F-F2954425768E}"/>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xdr:wsDr xmlns:xdr="http://schemas.openxmlformats.org/drawingml/2006/spreadsheetDrawing" xmlns:a="http://schemas.openxmlformats.org/drawingml/2006/main">
  <xdr:absoluteAnchor>
    <xdr:pos x="6499860" y="335280"/>
    <xdr:ext cx="5923915" cy="5272723"/>
    <xdr:graphicFrame macro="">
      <xdr:nvGraphicFramePr>
        <xdr:cNvPr id="2" name="Chart 1">
          <a:extLst>
            <a:ext uri="{FF2B5EF4-FFF2-40B4-BE49-F238E27FC236}">
              <a16:creationId xmlns:a16="http://schemas.microsoft.com/office/drawing/2014/main" id="{3F2F4107-B053-42F9-87BD-31B4A6AFDE96}"/>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xdr:wsDr xmlns:xdr="http://schemas.openxmlformats.org/drawingml/2006/spreadsheetDrawing" xmlns:a="http://schemas.openxmlformats.org/drawingml/2006/main">
  <xdr:twoCellAnchor editAs="oneCell">
    <xdr:from>
      <xdr:col>2</xdr:col>
      <xdr:colOff>30481</xdr:colOff>
      <xdr:row>38</xdr:row>
      <xdr:rowOff>45720</xdr:rowOff>
    </xdr:from>
    <xdr:to>
      <xdr:col>4</xdr:col>
      <xdr:colOff>115579</xdr:colOff>
      <xdr:row>41</xdr:row>
      <xdr:rowOff>11608</xdr:rowOff>
    </xdr:to>
    <xdr:pic>
      <xdr:nvPicPr>
        <xdr:cNvPr id="2" name="Picture 1">
          <a:extLst>
            <a:ext uri="{FF2B5EF4-FFF2-40B4-BE49-F238E27FC236}">
              <a16:creationId xmlns:a16="http://schemas.microsoft.com/office/drawing/2014/main" id="{E166F5AD-FBB6-4635-B975-3FA044608853}"/>
            </a:ext>
          </a:extLst>
        </xdr:cNvPr>
        <xdr:cNvPicPr>
          <a:picLocks noChangeAspect="1"/>
        </xdr:cNvPicPr>
      </xdr:nvPicPr>
      <xdr:blipFill>
        <a:blip xmlns:r="http://schemas.openxmlformats.org/officeDocument/2006/relationships" r:embed="rId1"/>
        <a:stretch>
          <a:fillRect/>
        </a:stretch>
      </xdr:blipFill>
      <xdr:spPr>
        <a:xfrm>
          <a:off x="2034541" y="7178040"/>
          <a:ext cx="1639578" cy="51452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Archived_External_Workbook.xlsx" TargetMode="External"/><Relationship Id="rId1" Type="http://schemas.openxmlformats.org/officeDocument/2006/relationships/externalLinkPath" Target="Archived_External_Workbook.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Archived_External_Workbook.xlsx" TargetMode="External"/><Relationship Id="rId1" Type="http://schemas.openxmlformats.org/officeDocument/2006/relationships/externalLinkPath" Target="Archived_External_Workbook.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Archived_External_Workbook.xlsx" TargetMode="External"/><Relationship Id="rId1" Type="http://schemas.openxmlformats.org/officeDocument/2006/relationships/externalLinkPath" Target="Archived_External_Workboo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V Factors"/>
      <sheetName val="Bond Pricing"/>
      <sheetName val="Bond YTM"/>
    </sheetNames>
    <sheetDataSet>
      <sheetData sheetId="0">
        <row r="1">
          <cell r="B1" t="str">
            <v>b(t) = 1/(1+r)^t</v>
          </cell>
        </row>
        <row r="2">
          <cell r="A2">
            <v>1</v>
          </cell>
          <cell r="B2">
            <v>0.96618357487922713</v>
          </cell>
        </row>
        <row r="3">
          <cell r="A3">
            <v>2</v>
          </cell>
          <cell r="B3">
            <v>0.93351070036640305</v>
          </cell>
        </row>
        <row r="4">
          <cell r="A4">
            <v>3</v>
          </cell>
          <cell r="B4">
            <v>0.90194270566802237</v>
          </cell>
        </row>
        <row r="5">
          <cell r="A5">
            <v>4</v>
          </cell>
          <cell r="B5">
            <v>0.87144222769857238</v>
          </cell>
        </row>
        <row r="6">
          <cell r="A6">
            <v>5</v>
          </cell>
          <cell r="B6">
            <v>0.84197316685852419</v>
          </cell>
        </row>
        <row r="7">
          <cell r="A7">
            <v>6</v>
          </cell>
          <cell r="B7">
            <v>0.81350064430775282</v>
          </cell>
        </row>
        <row r="8">
          <cell r="A8">
            <v>7</v>
          </cell>
          <cell r="B8">
            <v>0.78599096068381913</v>
          </cell>
        </row>
        <row r="9">
          <cell r="A9">
            <v>8</v>
          </cell>
          <cell r="B9">
            <v>0.75941155621625056</v>
          </cell>
        </row>
        <row r="10">
          <cell r="A10">
            <v>9</v>
          </cell>
          <cell r="B10">
            <v>0.73373097218961414</v>
          </cell>
        </row>
        <row r="11">
          <cell r="A11">
            <v>10</v>
          </cell>
          <cell r="B11">
            <v>0.70891881370977217</v>
          </cell>
        </row>
        <row r="12">
          <cell r="A12">
            <v>11</v>
          </cell>
          <cell r="B12">
            <v>0.68494571372924851</v>
          </cell>
        </row>
        <row r="13">
          <cell r="A13">
            <v>12</v>
          </cell>
          <cell r="B13">
            <v>0.66178329828912896</v>
          </cell>
        </row>
        <row r="14">
          <cell r="A14">
            <v>13</v>
          </cell>
          <cell r="B14">
            <v>0.63940415293635666</v>
          </cell>
        </row>
        <row r="15">
          <cell r="A15">
            <v>14</v>
          </cell>
          <cell r="B15">
            <v>0.61778179027667302</v>
          </cell>
        </row>
        <row r="16">
          <cell r="A16">
            <v>15</v>
          </cell>
          <cell r="B16">
            <v>0.59689061862480497</v>
          </cell>
        </row>
        <row r="17">
          <cell r="A17">
            <v>16</v>
          </cell>
          <cell r="B17">
            <v>0.57670591171478747</v>
          </cell>
        </row>
        <row r="18">
          <cell r="A18">
            <v>17</v>
          </cell>
          <cell r="B18">
            <v>0.55720377943457733</v>
          </cell>
        </row>
        <row r="19">
          <cell r="A19">
            <v>18</v>
          </cell>
          <cell r="B19">
            <v>0.53836113955031628</v>
          </cell>
        </row>
        <row r="20">
          <cell r="A20">
            <v>19</v>
          </cell>
          <cell r="B20">
            <v>0.52015569038677911</v>
          </cell>
        </row>
        <row r="21">
          <cell r="A21">
            <v>20</v>
          </cell>
          <cell r="B21">
            <v>0.50256588443167061</v>
          </cell>
        </row>
      </sheetData>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ta"/>
      <sheetName val="Cash Flow Chart"/>
    </sheetNames>
    <sheetDataSet>
      <sheetData sheetId="0">
        <row r="8">
          <cell r="D8" t="str">
            <v>Payment</v>
          </cell>
          <cell r="E8" t="str">
            <v>Interest</v>
          </cell>
          <cell r="F8" t="str">
            <v>Scheduled Principal</v>
          </cell>
        </row>
        <row r="9">
          <cell r="D9">
            <v>3599.3525042021306</v>
          </cell>
          <cell r="E9">
            <v>3250</v>
          </cell>
          <cell r="F9">
            <v>349.3525042021306</v>
          </cell>
        </row>
        <row r="10">
          <cell r="D10">
            <v>3599.3525042021306</v>
          </cell>
          <cell r="E10">
            <v>3247.7292087226865</v>
          </cell>
          <cell r="F10">
            <v>351.6232954794441</v>
          </cell>
        </row>
        <row r="11">
          <cell r="D11">
            <v>3599.3525042021306</v>
          </cell>
          <cell r="E11">
            <v>3245.4436573020698</v>
          </cell>
          <cell r="F11">
            <v>353.90884690006078</v>
          </cell>
        </row>
        <row r="12">
          <cell r="D12">
            <v>3599.3525042021306</v>
          </cell>
          <cell r="E12">
            <v>3243.1432497972196</v>
          </cell>
          <cell r="F12">
            <v>356.20925440491101</v>
          </cell>
        </row>
        <row r="13">
          <cell r="D13">
            <v>3599.3525042021306</v>
          </cell>
          <cell r="E13">
            <v>3240.8278896435877</v>
          </cell>
          <cell r="F13">
            <v>358.52461455854291</v>
          </cell>
        </row>
        <row r="14">
          <cell r="D14">
            <v>3599.3525042021306</v>
          </cell>
          <cell r="E14">
            <v>3238.4974796489569</v>
          </cell>
          <cell r="F14">
            <v>360.85502455317373</v>
          </cell>
        </row>
        <row r="15">
          <cell r="D15">
            <v>3599.3525042021306</v>
          </cell>
          <cell r="E15">
            <v>3236.1519219893612</v>
          </cell>
          <cell r="F15">
            <v>363.2005822127694</v>
          </cell>
        </row>
        <row r="16">
          <cell r="D16">
            <v>3599.3525042021306</v>
          </cell>
          <cell r="E16">
            <v>3233.7911182049779</v>
          </cell>
          <cell r="F16">
            <v>365.56138599715268</v>
          </cell>
        </row>
        <row r="17">
          <cell r="D17">
            <v>3599.3525042021306</v>
          </cell>
          <cell r="E17">
            <v>3231.4149691959969</v>
          </cell>
          <cell r="F17">
            <v>367.93753500613366</v>
          </cell>
        </row>
        <row r="18">
          <cell r="D18">
            <v>3599.3525042021306</v>
          </cell>
          <cell r="E18">
            <v>3229.0233752184563</v>
          </cell>
          <cell r="F18">
            <v>370.32912898367431</v>
          </cell>
        </row>
        <row r="19">
          <cell r="D19">
            <v>3599.3525042021306</v>
          </cell>
          <cell r="E19">
            <v>3226.616235880063</v>
          </cell>
          <cell r="F19">
            <v>372.73626832206764</v>
          </cell>
        </row>
        <row r="20">
          <cell r="D20">
            <v>3599.3525042021306</v>
          </cell>
          <cell r="E20">
            <v>3224.1934501359697</v>
          </cell>
          <cell r="F20">
            <v>375.15905406616093</v>
          </cell>
        </row>
        <row r="21">
          <cell r="D21">
            <v>3599.3525042021306</v>
          </cell>
          <cell r="E21">
            <v>3221.7549162845394</v>
          </cell>
          <cell r="F21">
            <v>377.59758791759123</v>
          </cell>
        </row>
        <row r="22">
          <cell r="D22">
            <v>3599.3525042021306</v>
          </cell>
          <cell r="E22">
            <v>3219.3005319630752</v>
          </cell>
          <cell r="F22">
            <v>380.05197223905543</v>
          </cell>
        </row>
        <row r="23">
          <cell r="D23">
            <v>3599.3525042021306</v>
          </cell>
          <cell r="E23">
            <v>3216.8301941435216</v>
          </cell>
          <cell r="F23">
            <v>382.52231005860904</v>
          </cell>
        </row>
        <row r="24">
          <cell r="D24">
            <v>3599.3525042021306</v>
          </cell>
          <cell r="E24">
            <v>3214.3437991281407</v>
          </cell>
          <cell r="F24">
            <v>385.00870507398986</v>
          </cell>
        </row>
        <row r="25">
          <cell r="D25">
            <v>3599.3525042021306</v>
          </cell>
          <cell r="E25">
            <v>3211.8412425451602</v>
          </cell>
          <cell r="F25">
            <v>387.51126165697042</v>
          </cell>
        </row>
        <row r="26">
          <cell r="D26">
            <v>3599.3525042021306</v>
          </cell>
          <cell r="E26">
            <v>3209.3224193443893</v>
          </cell>
          <cell r="F26">
            <v>390.03008485774126</v>
          </cell>
        </row>
        <row r="27">
          <cell r="D27">
            <v>3599.3525042021306</v>
          </cell>
          <cell r="E27">
            <v>3206.7872237928145</v>
          </cell>
          <cell r="F27">
            <v>392.56528040931607</v>
          </cell>
        </row>
        <row r="28">
          <cell r="D28">
            <v>3599.3525042021306</v>
          </cell>
          <cell r="E28">
            <v>3204.2355494701537</v>
          </cell>
          <cell r="F28">
            <v>395.11695473197688</v>
          </cell>
        </row>
        <row r="29">
          <cell r="D29">
            <v>3599.3525042021306</v>
          </cell>
          <cell r="E29">
            <v>3201.667289264396</v>
          </cell>
          <cell r="F29">
            <v>397.6852149377346</v>
          </cell>
        </row>
        <row r="30">
          <cell r="D30">
            <v>3599.3525042021306</v>
          </cell>
          <cell r="E30">
            <v>3199.0823353673004</v>
          </cell>
          <cell r="F30">
            <v>400.2701688348302</v>
          </cell>
        </row>
        <row r="31">
          <cell r="D31">
            <v>3599.3525042021306</v>
          </cell>
          <cell r="E31">
            <v>3196.4805792698739</v>
          </cell>
          <cell r="F31">
            <v>402.87192493225666</v>
          </cell>
        </row>
        <row r="32">
          <cell r="D32">
            <v>3599.3525042021306</v>
          </cell>
          <cell r="E32">
            <v>3193.8619117578146</v>
          </cell>
          <cell r="F32">
            <v>405.49059244431601</v>
          </cell>
        </row>
        <row r="33">
          <cell r="D33">
            <v>3599.3525042021306</v>
          </cell>
          <cell r="E33">
            <v>3191.226222906927</v>
          </cell>
          <cell r="F33">
            <v>408.12628129520363</v>
          </cell>
        </row>
        <row r="34">
          <cell r="D34">
            <v>3599.3525042021306</v>
          </cell>
          <cell r="E34">
            <v>3188.5734020785076</v>
          </cell>
          <cell r="F34">
            <v>410.77910212362303</v>
          </cell>
        </row>
        <row r="35">
          <cell r="D35">
            <v>3599.3525042021306</v>
          </cell>
          <cell r="E35">
            <v>3185.903337914704</v>
          </cell>
          <cell r="F35">
            <v>413.44916628742658</v>
          </cell>
        </row>
        <row r="36">
          <cell r="D36">
            <v>3599.3525042021306</v>
          </cell>
          <cell r="E36">
            <v>3183.2159183338358</v>
          </cell>
          <cell r="F36">
            <v>416.13658586829479</v>
          </cell>
        </row>
        <row r="37">
          <cell r="D37">
            <v>3599.3525042021306</v>
          </cell>
          <cell r="E37">
            <v>3180.5110305256917</v>
          </cell>
          <cell r="F37">
            <v>418.84147367643891</v>
          </cell>
        </row>
        <row r="38">
          <cell r="D38">
            <v>3599.3525042021306</v>
          </cell>
          <cell r="E38">
            <v>3177.7885609467953</v>
          </cell>
          <cell r="F38">
            <v>421.56394325533529</v>
          </cell>
        </row>
        <row r="39">
          <cell r="D39">
            <v>3599.3525042021306</v>
          </cell>
          <cell r="E39">
            <v>3175.0483953156349</v>
          </cell>
          <cell r="F39">
            <v>424.30410888649567</v>
          </cell>
        </row>
        <row r="40">
          <cell r="D40">
            <v>3599.3525042021306</v>
          </cell>
          <cell r="E40">
            <v>3172.2904186078727</v>
          </cell>
          <cell r="F40">
            <v>427.06208559425795</v>
          </cell>
        </row>
        <row r="41">
          <cell r="D41">
            <v>3599.3525042021306</v>
          </cell>
          <cell r="E41">
            <v>3169.5145150515104</v>
          </cell>
          <cell r="F41">
            <v>429.83798915062016</v>
          </cell>
        </row>
        <row r="42">
          <cell r="D42">
            <v>3599.3525042021306</v>
          </cell>
          <cell r="E42">
            <v>3166.7205681220312</v>
          </cell>
          <cell r="F42">
            <v>432.63193608009942</v>
          </cell>
        </row>
        <row r="43">
          <cell r="D43">
            <v>3599.3525042021306</v>
          </cell>
          <cell r="E43">
            <v>3163.9084605375101</v>
          </cell>
          <cell r="F43">
            <v>435.44404366462049</v>
          </cell>
        </row>
        <row r="44">
          <cell r="D44">
            <v>3599.3525042021306</v>
          </cell>
          <cell r="E44">
            <v>3161.0780742536904</v>
          </cell>
          <cell r="F44">
            <v>438.27442994844023</v>
          </cell>
        </row>
        <row r="45">
          <cell r="D45">
            <v>3599.3525042021306</v>
          </cell>
          <cell r="E45">
            <v>3158.2292904590254</v>
          </cell>
          <cell r="F45">
            <v>441.12321374310523</v>
          </cell>
        </row>
        <row r="46">
          <cell r="D46">
            <v>3599.3525042021306</v>
          </cell>
          <cell r="E46">
            <v>3155.3619895696957</v>
          </cell>
          <cell r="F46">
            <v>443.99051463243495</v>
          </cell>
        </row>
        <row r="47">
          <cell r="D47">
            <v>3599.3525042021306</v>
          </cell>
          <cell r="E47">
            <v>3152.4760512245848</v>
          </cell>
          <cell r="F47">
            <v>446.8764529775458</v>
          </cell>
        </row>
        <row r="48">
          <cell r="D48">
            <v>3599.3525042021306</v>
          </cell>
          <cell r="E48">
            <v>3149.5713542802309</v>
          </cell>
          <cell r="F48">
            <v>449.78114992189967</v>
          </cell>
        </row>
        <row r="49">
          <cell r="D49">
            <v>3599.3525042021306</v>
          </cell>
          <cell r="E49">
            <v>3146.6477768057389</v>
          </cell>
          <cell r="F49">
            <v>452.70472739639172</v>
          </cell>
        </row>
        <row r="50">
          <cell r="D50">
            <v>3599.3525042021306</v>
          </cell>
          <cell r="E50">
            <v>3143.7051960776621</v>
          </cell>
          <cell r="F50">
            <v>455.64730812446851</v>
          </cell>
        </row>
        <row r="51">
          <cell r="D51">
            <v>3599.3525042021306</v>
          </cell>
          <cell r="E51">
            <v>3140.743488574853</v>
          </cell>
          <cell r="F51">
            <v>458.60901562727759</v>
          </cell>
        </row>
        <row r="52">
          <cell r="D52">
            <v>3599.3525042021306</v>
          </cell>
          <cell r="E52">
            <v>3137.7625299732758</v>
          </cell>
          <cell r="F52">
            <v>461.58997422885477</v>
          </cell>
        </row>
        <row r="53">
          <cell r="D53">
            <v>3599.3525042021306</v>
          </cell>
          <cell r="E53">
            <v>3134.7621951407878</v>
          </cell>
          <cell r="F53">
            <v>464.59030906134285</v>
          </cell>
        </row>
        <row r="54">
          <cell r="D54">
            <v>3599.3525042021306</v>
          </cell>
          <cell r="E54">
            <v>3131.742358131889</v>
          </cell>
          <cell r="F54">
            <v>467.61014607024163</v>
          </cell>
        </row>
        <row r="55">
          <cell r="D55">
            <v>3599.3525042021306</v>
          </cell>
          <cell r="E55">
            <v>3128.7028921824326</v>
          </cell>
          <cell r="F55">
            <v>470.649612019698</v>
          </cell>
        </row>
        <row r="56">
          <cell r="D56">
            <v>3599.3525042021306</v>
          </cell>
          <cell r="E56">
            <v>3125.6436697043046</v>
          </cell>
          <cell r="F56">
            <v>473.70883449782605</v>
          </cell>
        </row>
        <row r="57">
          <cell r="D57">
            <v>3599.3525042021306</v>
          </cell>
          <cell r="E57">
            <v>3122.5645622800689</v>
          </cell>
          <cell r="F57">
            <v>476.78794192206169</v>
          </cell>
        </row>
        <row r="58">
          <cell r="D58">
            <v>3599.3525042021306</v>
          </cell>
          <cell r="E58">
            <v>3119.4654406575751</v>
          </cell>
          <cell r="F58">
            <v>479.88706354455553</v>
          </cell>
        </row>
        <row r="59">
          <cell r="D59">
            <v>3599.3525042021306</v>
          </cell>
          <cell r="E59">
            <v>3116.3461747445358</v>
          </cell>
          <cell r="F59">
            <v>483.0063294575948</v>
          </cell>
        </row>
        <row r="60">
          <cell r="D60">
            <v>3599.3525042021306</v>
          </cell>
          <cell r="E60">
            <v>3113.2066336030616</v>
          </cell>
          <cell r="F60">
            <v>486.14587059906899</v>
          </cell>
        </row>
        <row r="61">
          <cell r="D61">
            <v>3599.3525042021306</v>
          </cell>
          <cell r="E61">
            <v>3110.0466854441675</v>
          </cell>
          <cell r="F61">
            <v>489.30581875796315</v>
          </cell>
        </row>
        <row r="62">
          <cell r="D62">
            <v>3599.3525042021306</v>
          </cell>
          <cell r="E62">
            <v>3106.8661976222406</v>
          </cell>
          <cell r="F62">
            <v>492.48630657988997</v>
          </cell>
        </row>
        <row r="63">
          <cell r="D63">
            <v>3599.3525042021306</v>
          </cell>
          <cell r="E63">
            <v>3103.6650366294712</v>
          </cell>
          <cell r="F63">
            <v>495.68746757265944</v>
          </cell>
        </row>
        <row r="64">
          <cell r="D64">
            <v>3599.3525042021306</v>
          </cell>
          <cell r="E64">
            <v>3100.4430680902483</v>
          </cell>
          <cell r="F64">
            <v>498.90943611188231</v>
          </cell>
        </row>
        <row r="65">
          <cell r="D65">
            <v>3599.3525042021306</v>
          </cell>
          <cell r="E65">
            <v>3097.2001567555217</v>
          </cell>
          <cell r="F65">
            <v>502.15234744660893</v>
          </cell>
        </row>
        <row r="66">
          <cell r="D66">
            <v>3599.3525042021306</v>
          </cell>
          <cell r="E66">
            <v>3093.9361664971188</v>
          </cell>
          <cell r="F66">
            <v>505.41633770501176</v>
          </cell>
        </row>
        <row r="67">
          <cell r="D67">
            <v>3599.3525042021306</v>
          </cell>
          <cell r="E67">
            <v>3090.6509603020363</v>
          </cell>
          <cell r="F67">
            <v>508.70154390009429</v>
          </cell>
        </row>
        <row r="68">
          <cell r="D68">
            <v>3599.3525042021306</v>
          </cell>
          <cell r="E68">
            <v>3087.3444002666856</v>
          </cell>
          <cell r="F68">
            <v>512.00810393544498</v>
          </cell>
        </row>
        <row r="69">
          <cell r="D69">
            <v>3599.3525042021306</v>
          </cell>
          <cell r="E69">
            <v>3084.0163475911054</v>
          </cell>
          <cell r="F69">
            <v>515.33615661102522</v>
          </cell>
        </row>
        <row r="70">
          <cell r="D70">
            <v>3599.3525042021306</v>
          </cell>
          <cell r="E70">
            <v>3080.6666625731336</v>
          </cell>
          <cell r="F70">
            <v>518.68584162899697</v>
          </cell>
        </row>
        <row r="71">
          <cell r="D71">
            <v>3599.3525042021306</v>
          </cell>
          <cell r="E71">
            <v>3077.2952046025453</v>
          </cell>
          <cell r="F71">
            <v>522.05729959958535</v>
          </cell>
        </row>
        <row r="72">
          <cell r="D72">
            <v>3599.3525042021306</v>
          </cell>
          <cell r="E72">
            <v>3073.901832155148</v>
          </cell>
          <cell r="F72">
            <v>525.45067204698262</v>
          </cell>
        </row>
        <row r="73">
          <cell r="D73">
            <v>3599.3525042021306</v>
          </cell>
          <cell r="E73">
            <v>3070.4864027868425</v>
          </cell>
          <cell r="F73">
            <v>528.86610141528809</v>
          </cell>
        </row>
        <row r="74">
          <cell r="D74">
            <v>3599.3525042021306</v>
          </cell>
          <cell r="E74">
            <v>3067.048773127643</v>
          </cell>
          <cell r="F74">
            <v>532.30373107448759</v>
          </cell>
        </row>
        <row r="75">
          <cell r="D75">
            <v>3599.3525042021306</v>
          </cell>
          <cell r="E75">
            <v>3063.588798875659</v>
          </cell>
          <cell r="F75">
            <v>535.76370532647161</v>
          </cell>
        </row>
        <row r="76">
          <cell r="D76">
            <v>3599.3525042021306</v>
          </cell>
          <cell r="E76">
            <v>3060.1063347910367</v>
          </cell>
          <cell r="F76">
            <v>539.24616941109389</v>
          </cell>
        </row>
        <row r="77">
          <cell r="D77">
            <v>3599.3525042021306</v>
          </cell>
          <cell r="E77">
            <v>3056.6012346898647</v>
          </cell>
          <cell r="F77">
            <v>542.75126951226594</v>
          </cell>
        </row>
        <row r="78">
          <cell r="D78">
            <v>3599.3525042021306</v>
          </cell>
          <cell r="E78">
            <v>3053.0733514380349</v>
          </cell>
          <cell r="F78">
            <v>546.27915276409567</v>
          </cell>
        </row>
        <row r="79">
          <cell r="D79">
            <v>3599.3525042021306</v>
          </cell>
          <cell r="E79">
            <v>3049.5225369450677</v>
          </cell>
          <cell r="F79">
            <v>549.82996725706289</v>
          </cell>
        </row>
        <row r="80">
          <cell r="D80">
            <v>3599.3525042021306</v>
          </cell>
          <cell r="E80">
            <v>3045.9486421578972</v>
          </cell>
          <cell r="F80">
            <v>553.40386204423339</v>
          </cell>
        </row>
        <row r="81">
          <cell r="D81">
            <v>3599.3525042021306</v>
          </cell>
          <cell r="E81">
            <v>3042.3515170546093</v>
          </cell>
          <cell r="F81">
            <v>557.0009871475213</v>
          </cell>
        </row>
        <row r="82">
          <cell r="D82">
            <v>3599.3525042021306</v>
          </cell>
          <cell r="E82">
            <v>3038.7310106381506</v>
          </cell>
          <cell r="F82">
            <v>560.62149356398004</v>
          </cell>
        </row>
        <row r="83">
          <cell r="D83">
            <v>3599.3525042021306</v>
          </cell>
          <cell r="E83">
            <v>3035.0869709299855</v>
          </cell>
          <cell r="F83">
            <v>564.26553327214515</v>
          </cell>
        </row>
        <row r="84">
          <cell r="D84">
            <v>3599.3525042021306</v>
          </cell>
          <cell r="E84">
            <v>3031.4192449637162</v>
          </cell>
          <cell r="F84">
            <v>567.93325923841439</v>
          </cell>
        </row>
        <row r="85">
          <cell r="D85">
            <v>3599.3525042021306</v>
          </cell>
          <cell r="E85">
            <v>3027.7276787786664</v>
          </cell>
          <cell r="F85">
            <v>571.62482542346424</v>
          </cell>
        </row>
        <row r="86">
          <cell r="D86">
            <v>3599.3525042021306</v>
          </cell>
          <cell r="E86">
            <v>3024.0121174134142</v>
          </cell>
          <cell r="F86">
            <v>575.34038678871639</v>
          </cell>
        </row>
        <row r="87">
          <cell r="D87">
            <v>3599.3525042021306</v>
          </cell>
          <cell r="E87">
            <v>3020.2724048992873</v>
          </cell>
          <cell r="F87">
            <v>579.08009930284334</v>
          </cell>
        </row>
        <row r="88">
          <cell r="D88">
            <v>3599.3525042021306</v>
          </cell>
          <cell r="E88">
            <v>3016.5083842538188</v>
          </cell>
          <cell r="F88">
            <v>582.8441199483118</v>
          </cell>
        </row>
        <row r="89">
          <cell r="D89">
            <v>3599.3525042021306</v>
          </cell>
          <cell r="E89">
            <v>3012.7198974741545</v>
          </cell>
          <cell r="F89">
            <v>586.63260672797605</v>
          </cell>
        </row>
        <row r="90">
          <cell r="D90">
            <v>3599.3525042021306</v>
          </cell>
          <cell r="E90">
            <v>3008.9067855304224</v>
          </cell>
          <cell r="F90">
            <v>590.44571867170816</v>
          </cell>
        </row>
        <row r="91">
          <cell r="D91">
            <v>3599.3525042021306</v>
          </cell>
          <cell r="E91">
            <v>3005.068888359056</v>
          </cell>
          <cell r="F91">
            <v>594.28361584307459</v>
          </cell>
        </row>
        <row r="92">
          <cell r="D92">
            <v>3599.3525042021306</v>
          </cell>
          <cell r="E92">
            <v>3001.2060448560765</v>
          </cell>
          <cell r="F92">
            <v>598.14645934605414</v>
          </cell>
        </row>
        <row r="93">
          <cell r="D93">
            <v>3599.3525042021306</v>
          </cell>
          <cell r="E93">
            <v>2997.3180928703264</v>
          </cell>
          <cell r="F93">
            <v>602.03441133180422</v>
          </cell>
        </row>
        <row r="94">
          <cell r="D94">
            <v>3599.3525042021306</v>
          </cell>
          <cell r="E94">
            <v>2993.4048691966705</v>
          </cell>
          <cell r="F94">
            <v>605.94763500546014</v>
          </cell>
        </row>
        <row r="95">
          <cell r="D95">
            <v>3599.3525042021306</v>
          </cell>
          <cell r="E95">
            <v>2989.4662095691347</v>
          </cell>
          <cell r="F95">
            <v>609.88629463299594</v>
          </cell>
        </row>
        <row r="96">
          <cell r="D96">
            <v>3599.3525042021306</v>
          </cell>
          <cell r="E96">
            <v>2985.5019486540205</v>
          </cell>
          <cell r="F96">
            <v>613.85055554811015</v>
          </cell>
        </row>
        <row r="97">
          <cell r="D97">
            <v>3599.3525042021306</v>
          </cell>
          <cell r="E97">
            <v>2981.5119200429576</v>
          </cell>
          <cell r="F97">
            <v>617.84058415917298</v>
          </cell>
        </row>
        <row r="98">
          <cell r="D98">
            <v>3599.3525042021306</v>
          </cell>
          <cell r="E98">
            <v>2977.4959562459226</v>
          </cell>
          <cell r="F98">
            <v>621.85654795620803</v>
          </cell>
        </row>
        <row r="99">
          <cell r="D99">
            <v>3599.3525042021306</v>
          </cell>
          <cell r="E99">
            <v>2973.4538886842074</v>
          </cell>
          <cell r="F99">
            <v>625.89861551792319</v>
          </cell>
        </row>
        <row r="100">
          <cell r="D100">
            <v>3599.3525042021306</v>
          </cell>
          <cell r="E100">
            <v>2969.385547683341</v>
          </cell>
          <cell r="F100">
            <v>629.96695651878963</v>
          </cell>
        </row>
        <row r="101">
          <cell r="D101">
            <v>3599.3525042021306</v>
          </cell>
          <cell r="E101">
            <v>2965.2907624659692</v>
          </cell>
          <cell r="F101">
            <v>634.06174173616137</v>
          </cell>
        </row>
        <row r="102">
          <cell r="D102">
            <v>3599.3525042021306</v>
          </cell>
          <cell r="E102">
            <v>2961.1693611446844</v>
          </cell>
          <cell r="F102">
            <v>638.18314305744616</v>
          </cell>
        </row>
        <row r="103">
          <cell r="D103">
            <v>3599.3525042021306</v>
          </cell>
          <cell r="E103">
            <v>2957.0211707148105</v>
          </cell>
          <cell r="F103">
            <v>642.33133348732008</v>
          </cell>
        </row>
        <row r="104">
          <cell r="D104">
            <v>3599.3525042021306</v>
          </cell>
          <cell r="E104">
            <v>2952.8460170471431</v>
          </cell>
          <cell r="F104">
            <v>646.50648715498755</v>
          </cell>
        </row>
        <row r="105">
          <cell r="D105">
            <v>3599.3525042021306</v>
          </cell>
          <cell r="E105">
            <v>2948.643724880636</v>
          </cell>
          <cell r="F105">
            <v>650.7087793214946</v>
          </cell>
        </row>
        <row r="106">
          <cell r="D106">
            <v>3599.3525042021306</v>
          </cell>
          <cell r="E106">
            <v>2944.4141178150458</v>
          </cell>
          <cell r="F106">
            <v>654.93838638708485</v>
          </cell>
        </row>
        <row r="107">
          <cell r="D107">
            <v>3599.3525042021306</v>
          </cell>
          <cell r="E107">
            <v>2940.1570183035296</v>
          </cell>
          <cell r="F107">
            <v>659.19548589860096</v>
          </cell>
        </row>
        <row r="108">
          <cell r="D108">
            <v>3599.3525042021306</v>
          </cell>
          <cell r="E108">
            <v>2935.8722476451894</v>
          </cell>
          <cell r="F108">
            <v>663.48025655694119</v>
          </cell>
        </row>
        <row r="109">
          <cell r="D109">
            <v>3599.3525042021306</v>
          </cell>
          <cell r="E109">
            <v>2931.5596259775689</v>
          </cell>
          <cell r="F109">
            <v>667.79287822456172</v>
          </cell>
        </row>
        <row r="110">
          <cell r="D110">
            <v>3599.3525042021306</v>
          </cell>
          <cell r="E110">
            <v>2927.2189722691091</v>
          </cell>
          <cell r="F110">
            <v>672.13353193302146</v>
          </cell>
        </row>
        <row r="111">
          <cell r="D111">
            <v>3599.3525042021306</v>
          </cell>
          <cell r="E111">
            <v>2922.8501043115448</v>
          </cell>
          <cell r="F111">
            <v>676.50239989058582</v>
          </cell>
        </row>
        <row r="112">
          <cell r="D112">
            <v>3599.3525042021306</v>
          </cell>
          <cell r="E112">
            <v>2918.4528387122559</v>
          </cell>
          <cell r="F112">
            <v>680.89966548987468</v>
          </cell>
        </row>
        <row r="113">
          <cell r="D113">
            <v>3599.3525042021306</v>
          </cell>
          <cell r="E113">
            <v>2914.0269908865721</v>
          </cell>
          <cell r="F113">
            <v>685.32551331555851</v>
          </cell>
        </row>
        <row r="114">
          <cell r="D114">
            <v>3599.3525042021306</v>
          </cell>
          <cell r="E114">
            <v>2909.5723750500206</v>
          </cell>
          <cell r="F114">
            <v>689.78012915211002</v>
          </cell>
        </row>
        <row r="115">
          <cell r="D115">
            <v>3599.3525042021306</v>
          </cell>
          <cell r="E115">
            <v>2905.0888042105321</v>
          </cell>
          <cell r="F115">
            <v>694.26369999159851</v>
          </cell>
        </row>
        <row r="116">
          <cell r="D116">
            <v>3599.3525042021306</v>
          </cell>
          <cell r="E116">
            <v>2900.5760901605868</v>
          </cell>
          <cell r="F116">
            <v>698.77641404154383</v>
          </cell>
        </row>
        <row r="117">
          <cell r="D117">
            <v>3599.3525042021306</v>
          </cell>
          <cell r="E117">
            <v>2896.0340434693171</v>
          </cell>
          <cell r="F117">
            <v>703.31846073281349</v>
          </cell>
        </row>
        <row r="118">
          <cell r="D118">
            <v>3599.3525042021306</v>
          </cell>
          <cell r="E118">
            <v>2891.4624734745539</v>
          </cell>
          <cell r="F118">
            <v>707.89003072757669</v>
          </cell>
        </row>
        <row r="119">
          <cell r="D119">
            <v>3599.3525042021306</v>
          </cell>
          <cell r="E119">
            <v>2886.8611882748246</v>
          </cell>
          <cell r="F119">
            <v>712.491315927306</v>
          </cell>
        </row>
        <row r="120">
          <cell r="D120">
            <v>3599.3525042021306</v>
          </cell>
          <cell r="E120">
            <v>2882.2299947212973</v>
          </cell>
          <cell r="F120">
            <v>717.12250948083329</v>
          </cell>
        </row>
        <row r="121">
          <cell r="D121">
            <v>3599.3525042021306</v>
          </cell>
          <cell r="E121">
            <v>2877.5686984096715</v>
          </cell>
          <cell r="F121">
            <v>721.78380579245913</v>
          </cell>
        </row>
        <row r="122">
          <cell r="D122">
            <v>3599.3525042021306</v>
          </cell>
          <cell r="E122">
            <v>2872.8771036720204</v>
          </cell>
          <cell r="F122">
            <v>726.47540053011016</v>
          </cell>
        </row>
        <row r="123">
          <cell r="D123">
            <v>3599.3525042021306</v>
          </cell>
          <cell r="E123">
            <v>2868.1550135685752</v>
          </cell>
          <cell r="F123">
            <v>731.19749063355539</v>
          </cell>
        </row>
        <row r="124">
          <cell r="D124">
            <v>3599.3525042021306</v>
          </cell>
          <cell r="E124">
            <v>2863.4022298794566</v>
          </cell>
          <cell r="F124">
            <v>735.95027432267398</v>
          </cell>
        </row>
        <row r="125">
          <cell r="D125">
            <v>3599.3525042021306</v>
          </cell>
          <cell r="E125">
            <v>2858.6185530963594</v>
          </cell>
          <cell r="F125">
            <v>740.73395110577121</v>
          </cell>
        </row>
        <row r="126">
          <cell r="D126">
            <v>3599.3525042021306</v>
          </cell>
          <cell r="E126">
            <v>2853.8037824141716</v>
          </cell>
          <cell r="F126">
            <v>745.54872178795904</v>
          </cell>
        </row>
        <row r="127">
          <cell r="D127">
            <v>3599.3525042021306</v>
          </cell>
          <cell r="E127">
            <v>2848.9577157225499</v>
          </cell>
          <cell r="F127">
            <v>750.39478847958071</v>
          </cell>
        </row>
        <row r="128">
          <cell r="D128">
            <v>3599.3525042021306</v>
          </cell>
          <cell r="E128">
            <v>2844.0801495974324</v>
          </cell>
          <cell r="F128">
            <v>755.27235460469819</v>
          </cell>
        </row>
        <row r="129">
          <cell r="D129">
            <v>3599.3525042021306</v>
          </cell>
          <cell r="E129">
            <v>2839.1708792925019</v>
          </cell>
          <cell r="F129">
            <v>760.18162490962868</v>
          </cell>
        </row>
        <row r="130">
          <cell r="D130">
            <v>3599.3525042021306</v>
          </cell>
          <cell r="E130">
            <v>2834.229698730589</v>
          </cell>
          <cell r="F130">
            <v>765.1228054715416</v>
          </cell>
        </row>
        <row r="131">
          <cell r="D131">
            <v>3599.3525042021306</v>
          </cell>
          <cell r="E131">
            <v>2829.2564004950241</v>
          </cell>
          <cell r="F131">
            <v>770.09610370710652</v>
          </cell>
        </row>
        <row r="132">
          <cell r="D132">
            <v>3599.3525042021306</v>
          </cell>
          <cell r="E132">
            <v>2824.2507758209281</v>
          </cell>
          <cell r="F132">
            <v>775.10172838120252</v>
          </cell>
        </row>
        <row r="133">
          <cell r="D133">
            <v>3599.3525042021306</v>
          </cell>
          <cell r="E133">
            <v>2819.2126145864509</v>
          </cell>
          <cell r="F133">
            <v>780.13988961567975</v>
          </cell>
        </row>
        <row r="134">
          <cell r="D134">
            <v>3599.3525042021306</v>
          </cell>
          <cell r="E134">
            <v>2814.1417053039481</v>
          </cell>
          <cell r="F134">
            <v>785.21079889818247</v>
          </cell>
        </row>
        <row r="135">
          <cell r="D135">
            <v>3599.3525042021306</v>
          </cell>
          <cell r="E135">
            <v>2809.0378351111103</v>
          </cell>
          <cell r="F135">
            <v>790.31466909102028</v>
          </cell>
        </row>
        <row r="136">
          <cell r="D136">
            <v>3599.3525042021306</v>
          </cell>
          <cell r="E136">
            <v>2803.900789762019</v>
          </cell>
          <cell r="F136">
            <v>795.45171444011157</v>
          </cell>
        </row>
        <row r="137">
          <cell r="D137">
            <v>3599.3525042021306</v>
          </cell>
          <cell r="E137">
            <v>2798.7303536181576</v>
          </cell>
          <cell r="F137">
            <v>800.62215058397305</v>
          </cell>
        </row>
        <row r="138">
          <cell r="D138">
            <v>3599.3525042021306</v>
          </cell>
          <cell r="E138">
            <v>2793.5263096393624</v>
          </cell>
          <cell r="F138">
            <v>805.82619456276825</v>
          </cell>
        </row>
        <row r="139">
          <cell r="D139">
            <v>3599.3525042021306</v>
          </cell>
          <cell r="E139">
            <v>2788.288439374704</v>
          </cell>
          <cell r="F139">
            <v>811.06406482742659</v>
          </cell>
        </row>
        <row r="140">
          <cell r="D140">
            <v>3599.3525042021306</v>
          </cell>
          <cell r="E140">
            <v>2783.0165229533263</v>
          </cell>
          <cell r="F140">
            <v>816.33598124880427</v>
          </cell>
        </row>
        <row r="141">
          <cell r="D141">
            <v>3599.3525042021306</v>
          </cell>
          <cell r="E141">
            <v>2777.7103390752086</v>
          </cell>
          <cell r="F141">
            <v>821.64216512692201</v>
          </cell>
        </row>
        <row r="142">
          <cell r="D142">
            <v>3599.3525042021306</v>
          </cell>
          <cell r="E142">
            <v>2772.3696650018833</v>
          </cell>
          <cell r="F142">
            <v>826.98283920024733</v>
          </cell>
        </row>
        <row r="143">
          <cell r="D143">
            <v>3599.3525042021306</v>
          </cell>
          <cell r="E143">
            <v>2766.9942765470823</v>
          </cell>
          <cell r="F143">
            <v>832.35822765504827</v>
          </cell>
        </row>
        <row r="144">
          <cell r="D144">
            <v>3599.3525042021306</v>
          </cell>
          <cell r="E144">
            <v>2761.5839480673239</v>
          </cell>
          <cell r="F144">
            <v>837.76855613480666</v>
          </cell>
        </row>
        <row r="145">
          <cell r="D145">
            <v>3599.3525042021306</v>
          </cell>
          <cell r="E145">
            <v>2756.1384524524478</v>
          </cell>
          <cell r="F145">
            <v>843.21405174968277</v>
          </cell>
        </row>
        <row r="146">
          <cell r="D146">
            <v>3599.3525042021306</v>
          </cell>
          <cell r="E146">
            <v>2750.6575611160752</v>
          </cell>
          <cell r="F146">
            <v>848.69494308605545</v>
          </cell>
        </row>
        <row r="147">
          <cell r="D147">
            <v>3599.3525042021306</v>
          </cell>
          <cell r="E147">
            <v>2745.1410439860156</v>
          </cell>
          <cell r="F147">
            <v>854.21146021611503</v>
          </cell>
        </row>
        <row r="148">
          <cell r="D148">
            <v>3599.3525042021306</v>
          </cell>
          <cell r="E148">
            <v>2739.5886694946112</v>
          </cell>
          <cell r="F148">
            <v>859.76383470751944</v>
          </cell>
        </row>
        <row r="149">
          <cell r="D149">
            <v>3599.3525042021306</v>
          </cell>
          <cell r="E149">
            <v>2734.0002045690121</v>
          </cell>
          <cell r="F149">
            <v>865.35229963311849</v>
          </cell>
        </row>
        <row r="150">
          <cell r="D150">
            <v>3599.3525042021306</v>
          </cell>
          <cell r="E150">
            <v>2728.3754146213964</v>
          </cell>
          <cell r="F150">
            <v>870.97708958073417</v>
          </cell>
        </row>
        <row r="151">
          <cell r="D151">
            <v>3599.3525042021306</v>
          </cell>
          <cell r="E151">
            <v>2722.714063539122</v>
          </cell>
          <cell r="F151">
            <v>876.63844066300862</v>
          </cell>
        </row>
        <row r="152">
          <cell r="D152">
            <v>3599.3525042021306</v>
          </cell>
          <cell r="E152">
            <v>2717.0159136748125</v>
          </cell>
          <cell r="F152">
            <v>882.33659052731809</v>
          </cell>
        </row>
        <row r="153">
          <cell r="D153">
            <v>3599.3525042021306</v>
          </cell>
          <cell r="E153">
            <v>2711.280725836385</v>
          </cell>
          <cell r="F153">
            <v>888.07177836574556</v>
          </cell>
        </row>
        <row r="154">
          <cell r="D154">
            <v>3599.3525042021306</v>
          </cell>
          <cell r="E154">
            <v>2705.5082592770073</v>
          </cell>
          <cell r="F154">
            <v>893.84424492512335</v>
          </cell>
        </row>
        <row r="155">
          <cell r="D155">
            <v>3599.3525042021306</v>
          </cell>
          <cell r="E155">
            <v>2699.6982716849939</v>
          </cell>
          <cell r="F155">
            <v>899.65423251713673</v>
          </cell>
        </row>
        <row r="156">
          <cell r="D156">
            <v>3599.3525042021306</v>
          </cell>
          <cell r="E156">
            <v>2693.8505191736326</v>
          </cell>
          <cell r="F156">
            <v>905.50198502849798</v>
          </cell>
        </row>
        <row r="157">
          <cell r="D157">
            <v>3599.3525042021306</v>
          </cell>
          <cell r="E157">
            <v>2687.9647562709474</v>
          </cell>
          <cell r="F157">
            <v>911.38774793118318</v>
          </cell>
        </row>
        <row r="158">
          <cell r="D158">
            <v>3599.3525042021306</v>
          </cell>
          <cell r="E158">
            <v>2682.0407359093947</v>
          </cell>
          <cell r="F158">
            <v>917.31176829273591</v>
          </cell>
        </row>
        <row r="159">
          <cell r="D159">
            <v>3599.3525042021306</v>
          </cell>
          <cell r="E159">
            <v>2676.078209415492</v>
          </cell>
          <cell r="F159">
            <v>923.27429478663862</v>
          </cell>
        </row>
        <row r="160">
          <cell r="D160">
            <v>3599.3525042021306</v>
          </cell>
          <cell r="E160">
            <v>2670.0769264993792</v>
          </cell>
          <cell r="F160">
            <v>929.27557770275143</v>
          </cell>
        </row>
        <row r="161">
          <cell r="D161">
            <v>3599.3525042021306</v>
          </cell>
          <cell r="E161">
            <v>2664.0366352443111</v>
          </cell>
          <cell r="F161">
            <v>935.31586895781948</v>
          </cell>
        </row>
        <row r="162">
          <cell r="D162">
            <v>3599.3525042021306</v>
          </cell>
          <cell r="E162">
            <v>2657.9570820960853</v>
          </cell>
          <cell r="F162">
            <v>941.39542210604532</v>
          </cell>
        </row>
        <row r="163">
          <cell r="D163">
            <v>3599.3525042021306</v>
          </cell>
          <cell r="E163">
            <v>2651.838011852396</v>
          </cell>
          <cell r="F163">
            <v>947.51449234973461</v>
          </cell>
        </row>
        <row r="164">
          <cell r="D164">
            <v>3599.3525042021306</v>
          </cell>
          <cell r="E164">
            <v>2645.6791676521229</v>
          </cell>
          <cell r="F164">
            <v>953.67333655000766</v>
          </cell>
        </row>
        <row r="165">
          <cell r="D165">
            <v>3599.3525042021306</v>
          </cell>
          <cell r="E165">
            <v>2639.4802909645477</v>
          </cell>
          <cell r="F165">
            <v>959.87221323758286</v>
          </cell>
        </row>
        <row r="166">
          <cell r="D166">
            <v>3599.3525042021306</v>
          </cell>
          <cell r="E166">
            <v>2633.2411215785037</v>
          </cell>
          <cell r="F166">
            <v>966.11138262362692</v>
          </cell>
        </row>
        <row r="167">
          <cell r="D167">
            <v>3599.3525042021306</v>
          </cell>
          <cell r="E167">
            <v>2626.9613975914499</v>
          </cell>
          <cell r="F167">
            <v>972.39110661068071</v>
          </cell>
        </row>
        <row r="168">
          <cell r="D168">
            <v>3599.3525042021306</v>
          </cell>
          <cell r="E168">
            <v>2620.6408553984807</v>
          </cell>
          <cell r="F168">
            <v>978.71164880364995</v>
          </cell>
        </row>
        <row r="169">
          <cell r="D169">
            <v>3599.3525042021306</v>
          </cell>
          <cell r="E169">
            <v>2614.2792296812568</v>
          </cell>
          <cell r="F169">
            <v>985.07327452087384</v>
          </cell>
        </row>
        <row r="170">
          <cell r="D170">
            <v>3599.3525042021306</v>
          </cell>
          <cell r="E170">
            <v>2607.8762533968716</v>
          </cell>
          <cell r="F170">
            <v>991.47625080525904</v>
          </cell>
        </row>
        <row r="171">
          <cell r="D171">
            <v>3599.3525042021306</v>
          </cell>
          <cell r="E171">
            <v>2601.4316577666373</v>
          </cell>
          <cell r="F171">
            <v>997.92084643549333</v>
          </cell>
        </row>
        <row r="172">
          <cell r="D172">
            <v>3599.3525042021306</v>
          </cell>
          <cell r="E172">
            <v>2594.9451722648068</v>
          </cell>
          <cell r="F172">
            <v>1004.4073319373238</v>
          </cell>
        </row>
        <row r="173">
          <cell r="D173">
            <v>3599.3525042021306</v>
          </cell>
          <cell r="E173">
            <v>2588.4165246072139</v>
          </cell>
          <cell r="F173">
            <v>1010.9359795949167</v>
          </cell>
        </row>
        <row r="174">
          <cell r="D174">
            <v>3599.3525042021306</v>
          </cell>
          <cell r="E174">
            <v>2581.8454407398467</v>
          </cell>
          <cell r="F174">
            <v>1017.5070634622839</v>
          </cell>
        </row>
        <row r="175">
          <cell r="D175">
            <v>3599.3525042021306</v>
          </cell>
          <cell r="E175">
            <v>2575.2316448273418</v>
          </cell>
          <cell r="F175">
            <v>1024.1208593747888</v>
          </cell>
        </row>
        <row r="176">
          <cell r="D176">
            <v>3599.3525042021306</v>
          </cell>
          <cell r="E176">
            <v>2568.5748592414056</v>
          </cell>
          <cell r="F176">
            <v>1030.777644960725</v>
          </cell>
        </row>
        <row r="177">
          <cell r="D177">
            <v>3599.3525042021306</v>
          </cell>
          <cell r="E177">
            <v>2561.8748045491607</v>
          </cell>
          <cell r="F177">
            <v>1037.4776996529699</v>
          </cell>
        </row>
        <row r="178">
          <cell r="D178">
            <v>3599.3525042021306</v>
          </cell>
          <cell r="E178">
            <v>2555.1311995014166</v>
          </cell>
          <cell r="F178">
            <v>1044.221304700714</v>
          </cell>
        </row>
        <row r="179">
          <cell r="D179">
            <v>3599.3525042021306</v>
          </cell>
          <cell r="E179">
            <v>2548.3437610208621</v>
          </cell>
          <cell r="F179">
            <v>1051.0087431812685</v>
          </cell>
        </row>
        <row r="180">
          <cell r="D180">
            <v>3599.3525042021306</v>
          </cell>
          <cell r="E180">
            <v>2541.5122041901836</v>
          </cell>
          <cell r="F180">
            <v>1057.840300011947</v>
          </cell>
        </row>
        <row r="181">
          <cell r="D181">
            <v>3599.3525042021306</v>
          </cell>
          <cell r="E181">
            <v>2534.6362422401062</v>
          </cell>
          <cell r="F181">
            <v>1064.7162619620244</v>
          </cell>
        </row>
        <row r="182">
          <cell r="D182">
            <v>3599.3525042021306</v>
          </cell>
          <cell r="E182">
            <v>2527.7155865373529</v>
          </cell>
          <cell r="F182">
            <v>1071.6369176647777</v>
          </cell>
        </row>
        <row r="183">
          <cell r="D183">
            <v>3599.3525042021306</v>
          </cell>
          <cell r="E183">
            <v>2520.7499465725318</v>
          </cell>
          <cell r="F183">
            <v>1078.6025576295988</v>
          </cell>
        </row>
        <row r="184">
          <cell r="D184">
            <v>3599.3525042021306</v>
          </cell>
          <cell r="E184">
            <v>2513.7390299479398</v>
          </cell>
          <cell r="F184">
            <v>1085.6134742541908</v>
          </cell>
        </row>
        <row r="185">
          <cell r="D185">
            <v>3599.3525042021306</v>
          </cell>
          <cell r="E185">
            <v>2506.6825423652872</v>
          </cell>
          <cell r="F185">
            <v>1092.6699618368434</v>
          </cell>
        </row>
        <row r="186">
          <cell r="D186">
            <v>3599.3525042021306</v>
          </cell>
          <cell r="E186">
            <v>2499.5801876133478</v>
          </cell>
          <cell r="F186">
            <v>1099.7723165887828</v>
          </cell>
        </row>
        <row r="187">
          <cell r="D187">
            <v>3599.3525042021306</v>
          </cell>
          <cell r="E187">
            <v>2492.4316675555206</v>
          </cell>
          <cell r="F187">
            <v>1106.92083664661</v>
          </cell>
        </row>
        <row r="188">
          <cell r="D188">
            <v>3599.3525042021306</v>
          </cell>
          <cell r="E188">
            <v>2485.2366821173177</v>
          </cell>
          <cell r="F188">
            <v>1114.1158220848129</v>
          </cell>
        </row>
        <row r="189">
          <cell r="D189">
            <v>3599.3525042021306</v>
          </cell>
          <cell r="E189">
            <v>2477.994929273766</v>
          </cell>
          <cell r="F189">
            <v>1121.3575749283646</v>
          </cell>
        </row>
        <row r="190">
          <cell r="D190">
            <v>3599.3525042021306</v>
          </cell>
          <cell r="E190">
            <v>2470.7061050367315</v>
          </cell>
          <cell r="F190">
            <v>1128.6463991653991</v>
          </cell>
        </row>
        <row r="191">
          <cell r="D191">
            <v>3599.3525042021306</v>
          </cell>
          <cell r="E191">
            <v>2463.3699034421566</v>
          </cell>
          <cell r="F191">
            <v>1135.982600759974</v>
          </cell>
        </row>
        <row r="192">
          <cell r="D192">
            <v>3599.3525042021306</v>
          </cell>
          <cell r="E192">
            <v>2455.986016537217</v>
          </cell>
          <cell r="F192">
            <v>1143.3664876649136</v>
          </cell>
        </row>
        <row r="193">
          <cell r="D193">
            <v>3599.3525042021306</v>
          </cell>
          <cell r="E193">
            <v>2448.5541343673949</v>
          </cell>
          <cell r="F193">
            <v>1150.7983698347357</v>
          </cell>
        </row>
        <row r="194">
          <cell r="D194">
            <v>3599.3525042021306</v>
          </cell>
          <cell r="E194">
            <v>2441.0739449634693</v>
          </cell>
          <cell r="F194">
            <v>1158.2785592386613</v>
          </cell>
        </row>
        <row r="195">
          <cell r="D195">
            <v>3599.3525042021306</v>
          </cell>
          <cell r="E195">
            <v>2433.545134328418</v>
          </cell>
          <cell r="F195">
            <v>1165.8073698737126</v>
          </cell>
        </row>
        <row r="196">
          <cell r="D196">
            <v>3599.3525042021306</v>
          </cell>
          <cell r="E196">
            <v>2425.9673864242391</v>
          </cell>
          <cell r="F196">
            <v>1173.3851177778915</v>
          </cell>
        </row>
        <row r="197">
          <cell r="D197">
            <v>3599.3525042021306</v>
          </cell>
          <cell r="E197">
            <v>2418.3403831586825</v>
          </cell>
          <cell r="F197">
            <v>1181.0121210434481</v>
          </cell>
        </row>
        <row r="198">
          <cell r="D198">
            <v>3599.3525042021306</v>
          </cell>
          <cell r="E198">
            <v>2410.6638043719004</v>
          </cell>
          <cell r="F198">
            <v>1188.6886998302302</v>
          </cell>
        </row>
        <row r="199">
          <cell r="D199">
            <v>3599.3525042021306</v>
          </cell>
          <cell r="E199">
            <v>2402.9373278230037</v>
          </cell>
          <cell r="F199">
            <v>1196.4151763791269</v>
          </cell>
        </row>
        <row r="200">
          <cell r="D200">
            <v>3599.3525042021306</v>
          </cell>
          <cell r="E200">
            <v>2395.1606291765397</v>
          </cell>
          <cell r="F200">
            <v>1204.1918750255909</v>
          </cell>
        </row>
        <row r="201">
          <cell r="D201">
            <v>3599.3525042021306</v>
          </cell>
          <cell r="E201">
            <v>2387.3333819888735</v>
          </cell>
          <cell r="F201">
            <v>1212.0191222132571</v>
          </cell>
        </row>
        <row r="202">
          <cell r="D202">
            <v>3599.3525042021306</v>
          </cell>
          <cell r="E202">
            <v>2379.455257694487</v>
          </cell>
          <cell r="F202">
            <v>1219.8972465076436</v>
          </cell>
        </row>
        <row r="203">
          <cell r="D203">
            <v>3599.3525042021306</v>
          </cell>
          <cell r="E203">
            <v>2371.5259255921874</v>
          </cell>
          <cell r="F203">
            <v>1227.8265786099432</v>
          </cell>
        </row>
        <row r="204">
          <cell r="D204">
            <v>3599.3525042021306</v>
          </cell>
          <cell r="E204">
            <v>2363.5450528312231</v>
          </cell>
          <cell r="F204">
            <v>1235.8074513709075</v>
          </cell>
        </row>
        <row r="205">
          <cell r="D205">
            <v>3599.3525042021306</v>
          </cell>
          <cell r="E205">
            <v>2355.5123043973122</v>
          </cell>
          <cell r="F205">
            <v>1243.8401998048184</v>
          </cell>
        </row>
        <row r="206">
          <cell r="D206">
            <v>3599.3525042021306</v>
          </cell>
          <cell r="E206">
            <v>2347.4273430985809</v>
          </cell>
          <cell r="F206">
            <v>1251.9251611035497</v>
          </cell>
        </row>
        <row r="207">
          <cell r="D207">
            <v>3599.3525042021306</v>
          </cell>
          <cell r="E207">
            <v>2339.2898295514074</v>
          </cell>
          <cell r="F207">
            <v>1260.0626746507232</v>
          </cell>
        </row>
        <row r="208">
          <cell r="D208">
            <v>3599.3525042021306</v>
          </cell>
          <cell r="E208">
            <v>2331.0994221661776</v>
          </cell>
          <cell r="F208">
            <v>1268.253082035953</v>
          </cell>
        </row>
        <row r="209">
          <cell r="D209">
            <v>3599.3525042021306</v>
          </cell>
          <cell r="E209">
            <v>2322.8557771329442</v>
          </cell>
          <cell r="F209">
            <v>1276.4967270691864</v>
          </cell>
        </row>
        <row r="210">
          <cell r="D210">
            <v>3599.3525042021306</v>
          </cell>
          <cell r="E210">
            <v>2314.5585484069948</v>
          </cell>
          <cell r="F210">
            <v>1284.7939557951358</v>
          </cell>
        </row>
        <row r="211">
          <cell r="D211">
            <v>3599.3525042021306</v>
          </cell>
          <cell r="E211">
            <v>2306.2073876943264</v>
          </cell>
          <cell r="F211">
            <v>1293.1451165078042</v>
          </cell>
        </row>
        <row r="212">
          <cell r="D212">
            <v>3599.3525042021306</v>
          </cell>
          <cell r="E212">
            <v>2297.8019444370252</v>
          </cell>
          <cell r="F212">
            <v>1301.5505597651054</v>
          </cell>
        </row>
        <row r="213">
          <cell r="D213">
            <v>3599.3525042021306</v>
          </cell>
          <cell r="E213">
            <v>2289.3418657985521</v>
          </cell>
          <cell r="F213">
            <v>1310.0106384035785</v>
          </cell>
        </row>
        <row r="214">
          <cell r="D214">
            <v>3599.3525042021306</v>
          </cell>
          <cell r="E214">
            <v>2280.8267966489288</v>
          </cell>
          <cell r="F214">
            <v>1318.5257075532018</v>
          </cell>
        </row>
        <row r="215">
          <cell r="D215">
            <v>3599.3525042021306</v>
          </cell>
          <cell r="E215">
            <v>2272.2563795498331</v>
          </cell>
          <cell r="F215">
            <v>1327.0961246522975</v>
          </cell>
        </row>
        <row r="216">
          <cell r="D216">
            <v>3599.3525042021306</v>
          </cell>
          <cell r="E216">
            <v>2263.6302547395931</v>
          </cell>
          <cell r="F216">
            <v>1335.7222494625375</v>
          </cell>
        </row>
        <row r="217">
          <cell r="D217">
            <v>3599.3525042021306</v>
          </cell>
          <cell r="E217">
            <v>2254.9480601180862</v>
          </cell>
          <cell r="F217">
            <v>1344.4044440840444</v>
          </cell>
        </row>
        <row r="218">
          <cell r="D218">
            <v>3599.3525042021306</v>
          </cell>
          <cell r="E218">
            <v>2246.2094312315403</v>
          </cell>
          <cell r="F218">
            <v>1353.1430729705903</v>
          </cell>
        </row>
        <row r="219">
          <cell r="D219">
            <v>3599.3525042021306</v>
          </cell>
          <cell r="E219">
            <v>2237.4140012572311</v>
          </cell>
          <cell r="F219">
            <v>1361.9385029448995</v>
          </cell>
        </row>
        <row r="220">
          <cell r="D220">
            <v>3599.3525042021306</v>
          </cell>
          <cell r="E220">
            <v>2228.5614009880896</v>
          </cell>
          <cell r="F220">
            <v>1370.791103214041</v>
          </cell>
        </row>
        <row r="221">
          <cell r="D221">
            <v>3599.3525042021306</v>
          </cell>
          <cell r="E221">
            <v>2219.6512588171986</v>
          </cell>
          <cell r="F221">
            <v>1379.701245384932</v>
          </cell>
        </row>
        <row r="222">
          <cell r="D222">
            <v>3599.3525042021306</v>
          </cell>
          <cell r="E222">
            <v>2210.683200722196</v>
          </cell>
          <cell r="F222">
            <v>1388.6693034799346</v>
          </cell>
        </row>
        <row r="223">
          <cell r="D223">
            <v>3599.3525042021306</v>
          </cell>
          <cell r="E223">
            <v>2201.6568502495766</v>
          </cell>
          <cell r="F223">
            <v>1397.695653952554</v>
          </cell>
        </row>
        <row r="224">
          <cell r="D224">
            <v>3599.3525042021306</v>
          </cell>
          <cell r="E224">
            <v>2192.5718284988848</v>
          </cell>
          <cell r="F224">
            <v>1406.7806757032458</v>
          </cell>
        </row>
        <row r="225">
          <cell r="D225">
            <v>3599.3525042021306</v>
          </cell>
          <cell r="E225">
            <v>2183.4277541068136</v>
          </cell>
          <cell r="F225">
            <v>1415.924750095317</v>
          </cell>
        </row>
        <row r="226">
          <cell r="D226">
            <v>3599.3525042021306</v>
          </cell>
          <cell r="E226">
            <v>2174.2242432311946</v>
          </cell>
          <cell r="F226">
            <v>1425.128260970936</v>
          </cell>
        </row>
        <row r="227">
          <cell r="D227">
            <v>3599.3525042021306</v>
          </cell>
          <cell r="E227">
            <v>2164.9609095348837</v>
          </cell>
          <cell r="F227">
            <v>1434.3915946672469</v>
          </cell>
        </row>
        <row r="228">
          <cell r="D228">
            <v>3599.3525042021306</v>
          </cell>
          <cell r="E228">
            <v>2155.6373641695468</v>
          </cell>
          <cell r="F228">
            <v>1443.7151400325838</v>
          </cell>
        </row>
        <row r="229">
          <cell r="D229">
            <v>3599.3525042021306</v>
          </cell>
          <cell r="E229">
            <v>2146.2532157593346</v>
          </cell>
          <cell r="F229">
            <v>1453.099288442796</v>
          </cell>
        </row>
        <row r="230">
          <cell r="D230">
            <v>3599.3525042021306</v>
          </cell>
          <cell r="E230">
            <v>2136.8080703844566</v>
          </cell>
          <cell r="F230">
            <v>1462.544433817674</v>
          </cell>
        </row>
        <row r="231">
          <cell r="D231">
            <v>3599.3525042021306</v>
          </cell>
          <cell r="E231">
            <v>2127.3015315646417</v>
          </cell>
          <cell r="F231">
            <v>1472.0509726374889</v>
          </cell>
        </row>
        <row r="232">
          <cell r="D232">
            <v>3599.3525042021306</v>
          </cell>
          <cell r="E232">
            <v>2117.7332002424978</v>
          </cell>
          <cell r="F232">
            <v>1481.6193039596328</v>
          </cell>
        </row>
        <row r="233">
          <cell r="D233">
            <v>3599.3525042021306</v>
          </cell>
          <cell r="E233">
            <v>2108.1026747667602</v>
          </cell>
          <cell r="F233">
            <v>1491.2498294353704</v>
          </cell>
        </row>
        <row r="234">
          <cell r="D234">
            <v>3599.3525042021306</v>
          </cell>
          <cell r="E234">
            <v>2098.4095508754303</v>
          </cell>
          <cell r="F234">
            <v>1500.9429533267003</v>
          </cell>
        </row>
        <row r="235">
          <cell r="D235">
            <v>3599.3525042021306</v>
          </cell>
          <cell r="E235">
            <v>2088.6534216788068</v>
          </cell>
          <cell r="F235">
            <v>1510.6990825233238</v>
          </cell>
        </row>
        <row r="236">
          <cell r="D236">
            <v>3599.3525042021306</v>
          </cell>
          <cell r="E236">
            <v>2078.8338776424048</v>
          </cell>
          <cell r="F236">
            <v>1520.5186265597258</v>
          </cell>
        </row>
        <row r="237">
          <cell r="D237">
            <v>3599.3525042021306</v>
          </cell>
          <cell r="E237">
            <v>2068.9505065697672</v>
          </cell>
          <cell r="F237">
            <v>1530.4019976323634</v>
          </cell>
        </row>
        <row r="238">
          <cell r="D238">
            <v>3599.3525042021306</v>
          </cell>
          <cell r="E238">
            <v>2059.0028935851565</v>
          </cell>
          <cell r="F238">
            <v>1540.3496106169741</v>
          </cell>
        </row>
        <row r="239">
          <cell r="D239">
            <v>3599.3525042021306</v>
          </cell>
          <cell r="E239">
            <v>2048.9906211161465</v>
          </cell>
          <cell r="F239">
            <v>1550.3618830859841</v>
          </cell>
        </row>
        <row r="240">
          <cell r="D240">
            <v>3599.3525042021306</v>
          </cell>
          <cell r="E240">
            <v>2038.9132688760874</v>
          </cell>
          <cell r="F240">
            <v>1560.4392353260432</v>
          </cell>
        </row>
        <row r="241">
          <cell r="D241">
            <v>3599.3525042021306</v>
          </cell>
          <cell r="E241">
            <v>2028.7704138464685</v>
          </cell>
          <cell r="F241">
            <v>1570.5820903556621</v>
          </cell>
        </row>
        <row r="242">
          <cell r="D242">
            <v>3599.3525042021306</v>
          </cell>
          <cell r="E242">
            <v>2018.5616302591563</v>
          </cell>
          <cell r="F242">
            <v>1580.7908739429743</v>
          </cell>
        </row>
        <row r="243">
          <cell r="D243">
            <v>3599.3525042021306</v>
          </cell>
          <cell r="E243">
            <v>2008.2864895785272</v>
          </cell>
          <cell r="F243">
            <v>1591.0660146236035</v>
          </cell>
        </row>
        <row r="244">
          <cell r="D244">
            <v>3599.3525042021306</v>
          </cell>
          <cell r="E244">
            <v>1997.9445604834737</v>
          </cell>
          <cell r="F244">
            <v>1601.407943718657</v>
          </cell>
        </row>
        <row r="245">
          <cell r="D245">
            <v>3599.3525042021306</v>
          </cell>
          <cell r="E245">
            <v>1987.5354088493023</v>
          </cell>
          <cell r="F245">
            <v>1611.8170953528283</v>
          </cell>
        </row>
        <row r="246">
          <cell r="D246">
            <v>3599.3525042021306</v>
          </cell>
          <cell r="E246">
            <v>1977.0585977295093</v>
          </cell>
          <cell r="F246">
            <v>1622.2939064726213</v>
          </cell>
        </row>
        <row r="247">
          <cell r="D247">
            <v>3599.3525042021306</v>
          </cell>
          <cell r="E247">
            <v>1966.513687337437</v>
          </cell>
          <cell r="F247">
            <v>1632.8388168646936</v>
          </cell>
        </row>
        <row r="248">
          <cell r="D248">
            <v>3599.3525042021306</v>
          </cell>
          <cell r="E248">
            <v>1955.9002350278167</v>
          </cell>
          <cell r="F248">
            <v>1643.4522691743139</v>
          </cell>
        </row>
        <row r="249">
          <cell r="D249">
            <v>3599.3525042021306</v>
          </cell>
          <cell r="E249">
            <v>1945.2177952781833</v>
          </cell>
          <cell r="F249">
            <v>1654.1347089239473</v>
          </cell>
        </row>
        <row r="250">
          <cell r="D250">
            <v>3599.3525042021306</v>
          </cell>
          <cell r="E250">
            <v>1934.4659196701778</v>
          </cell>
          <cell r="F250">
            <v>1664.8865845319528</v>
          </cell>
        </row>
        <row r="251">
          <cell r="D251">
            <v>3599.3525042021306</v>
          </cell>
          <cell r="E251">
            <v>1923.6441568707198</v>
          </cell>
          <cell r="F251">
            <v>1675.7083473314108</v>
          </cell>
        </row>
        <row r="252">
          <cell r="D252">
            <v>3599.3525042021306</v>
          </cell>
          <cell r="E252">
            <v>1912.7520526130659</v>
          </cell>
          <cell r="F252">
            <v>1686.6004515890647</v>
          </cell>
        </row>
        <row r="253">
          <cell r="D253">
            <v>3599.3525042021306</v>
          </cell>
          <cell r="E253">
            <v>1901.7891496777372</v>
          </cell>
          <cell r="F253">
            <v>1697.5633545243934</v>
          </cell>
        </row>
        <row r="254">
          <cell r="D254">
            <v>3599.3525042021306</v>
          </cell>
          <cell r="E254">
            <v>1890.7549878733289</v>
          </cell>
          <cell r="F254">
            <v>1708.5975163288017</v>
          </cell>
        </row>
        <row r="255">
          <cell r="D255">
            <v>3599.3525042021306</v>
          </cell>
          <cell r="E255">
            <v>1879.6491040171916</v>
          </cell>
          <cell r="F255">
            <v>1719.703400184939</v>
          </cell>
        </row>
        <row r="256">
          <cell r="D256">
            <v>3599.3525042021306</v>
          </cell>
          <cell r="E256">
            <v>1868.4710319159894</v>
          </cell>
          <cell r="F256">
            <v>1730.8814722861412</v>
          </cell>
        </row>
        <row r="257">
          <cell r="D257">
            <v>3599.3525042021306</v>
          </cell>
          <cell r="E257">
            <v>1857.2203023461298</v>
          </cell>
          <cell r="F257">
            <v>1742.1322018560008</v>
          </cell>
        </row>
        <row r="258">
          <cell r="D258">
            <v>3599.3525042021306</v>
          </cell>
          <cell r="E258">
            <v>1845.8964430340657</v>
          </cell>
          <cell r="F258">
            <v>1753.4560611680649</v>
          </cell>
        </row>
        <row r="259">
          <cell r="D259">
            <v>3599.3525042021306</v>
          </cell>
          <cell r="E259">
            <v>1834.4989786364733</v>
          </cell>
          <cell r="F259">
            <v>1764.8535255656573</v>
          </cell>
        </row>
        <row r="260">
          <cell r="D260">
            <v>3599.3525042021306</v>
          </cell>
          <cell r="E260">
            <v>1823.0274307202969</v>
          </cell>
          <cell r="F260">
            <v>1776.3250734818337</v>
          </cell>
        </row>
        <row r="261">
          <cell r="D261">
            <v>3599.3525042021306</v>
          </cell>
          <cell r="E261">
            <v>1811.4813177426649</v>
          </cell>
          <cell r="F261">
            <v>1787.8711864594657</v>
          </cell>
        </row>
        <row r="262">
          <cell r="D262">
            <v>3599.3525042021306</v>
          </cell>
          <cell r="E262">
            <v>1799.8601550306785</v>
          </cell>
          <cell r="F262">
            <v>1799.4923491714521</v>
          </cell>
        </row>
        <row r="263">
          <cell r="D263">
            <v>3599.3525042021306</v>
          </cell>
          <cell r="E263">
            <v>1788.163454761064</v>
          </cell>
          <cell r="F263">
            <v>1811.1890494410666</v>
          </cell>
        </row>
        <row r="264">
          <cell r="D264">
            <v>3599.3525042021306</v>
          </cell>
          <cell r="E264">
            <v>1776.3907259396972</v>
          </cell>
          <cell r="F264">
            <v>1822.9617782624334</v>
          </cell>
        </row>
        <row r="265">
          <cell r="D265">
            <v>3599.3525042021306</v>
          </cell>
          <cell r="E265">
            <v>1764.5414743809913</v>
          </cell>
          <cell r="F265">
            <v>1834.8110298211393</v>
          </cell>
        </row>
        <row r="266">
          <cell r="D266">
            <v>3599.3525042021306</v>
          </cell>
          <cell r="E266">
            <v>1752.6152026871541</v>
          </cell>
          <cell r="F266">
            <v>1846.7373015149765</v>
          </cell>
        </row>
        <row r="267">
          <cell r="D267">
            <v>3599.3525042021306</v>
          </cell>
          <cell r="E267">
            <v>1740.6114102273068</v>
          </cell>
          <cell r="F267">
            <v>1858.7410939748238</v>
          </cell>
        </row>
        <row r="268">
          <cell r="D268">
            <v>3599.3525042021306</v>
          </cell>
          <cell r="E268">
            <v>1728.5295931164703</v>
          </cell>
          <cell r="F268">
            <v>1870.8229110856603</v>
          </cell>
        </row>
        <row r="269">
          <cell r="D269">
            <v>3599.3525042021306</v>
          </cell>
          <cell r="E269">
            <v>1716.3692441944133</v>
          </cell>
          <cell r="F269">
            <v>1882.9832600077173</v>
          </cell>
        </row>
        <row r="270">
          <cell r="D270">
            <v>3599.3525042021306</v>
          </cell>
          <cell r="E270">
            <v>1704.1298530043634</v>
          </cell>
          <cell r="F270">
            <v>1895.2226511977672</v>
          </cell>
        </row>
        <row r="271">
          <cell r="D271">
            <v>3599.3525042021306</v>
          </cell>
          <cell r="E271">
            <v>1691.8109057715781</v>
          </cell>
          <cell r="F271">
            <v>1907.5415984305525</v>
          </cell>
        </row>
        <row r="272">
          <cell r="D272">
            <v>3599.3525042021306</v>
          </cell>
          <cell r="E272">
            <v>1679.4118853817793</v>
          </cell>
          <cell r="F272">
            <v>1919.9406188203513</v>
          </cell>
        </row>
        <row r="273">
          <cell r="D273">
            <v>3599.3525042021306</v>
          </cell>
          <cell r="E273">
            <v>1666.9322713594472</v>
          </cell>
          <cell r="F273">
            <v>1932.4202328426834</v>
          </cell>
        </row>
        <row r="274">
          <cell r="D274">
            <v>3599.3525042021306</v>
          </cell>
          <cell r="E274">
            <v>1654.3715398459697</v>
          </cell>
          <cell r="F274">
            <v>1944.9809643561609</v>
          </cell>
        </row>
        <row r="275">
          <cell r="D275">
            <v>3599.3525042021306</v>
          </cell>
          <cell r="E275">
            <v>1641.7291635776546</v>
          </cell>
          <cell r="F275">
            <v>1957.623340624476</v>
          </cell>
        </row>
        <row r="276">
          <cell r="D276">
            <v>3599.3525042021306</v>
          </cell>
          <cell r="E276">
            <v>1629.0046118635955</v>
          </cell>
          <cell r="F276">
            <v>1970.3478923385351</v>
          </cell>
        </row>
        <row r="277">
          <cell r="D277">
            <v>3599.3525042021306</v>
          </cell>
          <cell r="E277">
            <v>1616.197350563395</v>
          </cell>
          <cell r="F277">
            <v>1983.1551536387356</v>
          </cell>
        </row>
        <row r="278">
          <cell r="D278">
            <v>3599.3525042021306</v>
          </cell>
          <cell r="E278">
            <v>1603.3068420647433</v>
          </cell>
          <cell r="F278">
            <v>1996.0456621373874</v>
          </cell>
        </row>
        <row r="279">
          <cell r="D279">
            <v>3599.3525042021306</v>
          </cell>
          <cell r="E279">
            <v>1590.3325452608503</v>
          </cell>
          <cell r="F279">
            <v>2009.0199589412803</v>
          </cell>
        </row>
        <row r="280">
          <cell r="D280">
            <v>3599.3525042021306</v>
          </cell>
          <cell r="E280">
            <v>1577.2739155277322</v>
          </cell>
          <cell r="F280">
            <v>2022.0785886743984</v>
          </cell>
        </row>
        <row r="281">
          <cell r="D281">
            <v>3599.3525042021306</v>
          </cell>
          <cell r="E281">
            <v>1564.1304047013484</v>
          </cell>
          <cell r="F281">
            <v>2035.2220995007822</v>
          </cell>
        </row>
        <row r="282">
          <cell r="D282">
            <v>3599.3525042021306</v>
          </cell>
          <cell r="E282">
            <v>1550.9014610545935</v>
          </cell>
          <cell r="F282">
            <v>2048.4510431475373</v>
          </cell>
        </row>
        <row r="283">
          <cell r="D283">
            <v>3599.3525042021306</v>
          </cell>
          <cell r="E283">
            <v>1537.5865292741344</v>
          </cell>
          <cell r="F283">
            <v>2061.7659749279965</v>
          </cell>
        </row>
        <row r="284">
          <cell r="D284">
            <v>3599.3525042021306</v>
          </cell>
          <cell r="E284">
            <v>1524.1850504371025</v>
          </cell>
          <cell r="F284">
            <v>2075.1674537650279</v>
          </cell>
        </row>
        <row r="285">
          <cell r="D285">
            <v>3599.3525042021306</v>
          </cell>
          <cell r="E285">
            <v>1510.6964619876298</v>
          </cell>
          <cell r="F285">
            <v>2088.6560422145008</v>
          </cell>
        </row>
        <row r="286">
          <cell r="D286">
            <v>3599.3525042021306</v>
          </cell>
          <cell r="E286">
            <v>1497.1201977132353</v>
          </cell>
          <cell r="F286">
            <v>2102.2323064888951</v>
          </cell>
        </row>
        <row r="287">
          <cell r="D287">
            <v>3599.3525042021306</v>
          </cell>
          <cell r="E287">
            <v>1483.4556877210578</v>
          </cell>
          <cell r="F287">
            <v>2115.8968164810731</v>
          </cell>
        </row>
        <row r="288">
          <cell r="D288">
            <v>3599.3525042021306</v>
          </cell>
          <cell r="E288">
            <v>1469.7023584139306</v>
          </cell>
          <cell r="F288">
            <v>2129.6501457882</v>
          </cell>
        </row>
        <row r="289">
          <cell r="D289">
            <v>3599.3525042021306</v>
          </cell>
          <cell r="E289">
            <v>1455.8596324663074</v>
          </cell>
          <cell r="F289">
            <v>2143.4928717358234</v>
          </cell>
        </row>
        <row r="290">
          <cell r="D290">
            <v>3599.3525042021306</v>
          </cell>
          <cell r="E290">
            <v>1441.9269288000244</v>
          </cell>
          <cell r="F290">
            <v>2157.425575402106</v>
          </cell>
        </row>
        <row r="291">
          <cell r="D291">
            <v>3599.3525042021306</v>
          </cell>
          <cell r="E291">
            <v>1427.9036625599108</v>
          </cell>
          <cell r="F291">
            <v>2171.44884164222</v>
          </cell>
        </row>
        <row r="292">
          <cell r="D292">
            <v>3599.3525042021306</v>
          </cell>
          <cell r="E292">
            <v>1413.7892450892361</v>
          </cell>
          <cell r="F292">
            <v>2185.5632591128942</v>
          </cell>
        </row>
        <row r="293">
          <cell r="D293">
            <v>3599.3525042021306</v>
          </cell>
          <cell r="E293">
            <v>1399.5830839050025</v>
          </cell>
          <cell r="F293">
            <v>2199.7694202971279</v>
          </cell>
        </row>
        <row r="294">
          <cell r="D294">
            <v>3599.3525042021306</v>
          </cell>
          <cell r="E294">
            <v>1385.2845826730711</v>
          </cell>
          <cell r="F294">
            <v>2214.0679215290593</v>
          </cell>
        </row>
        <row r="295">
          <cell r="D295">
            <v>3599.3525042021306</v>
          </cell>
          <cell r="E295">
            <v>1370.8931411831325</v>
          </cell>
          <cell r="F295">
            <v>2228.4593630189984</v>
          </cell>
        </row>
        <row r="296">
          <cell r="D296">
            <v>3599.3525042021306</v>
          </cell>
          <cell r="E296">
            <v>1356.4081553235089</v>
          </cell>
          <cell r="F296">
            <v>2242.9443488786219</v>
          </cell>
        </row>
        <row r="297">
          <cell r="D297">
            <v>3599.3525042021306</v>
          </cell>
          <cell r="E297">
            <v>1341.8290170557977</v>
          </cell>
          <cell r="F297">
            <v>2257.5234871463326</v>
          </cell>
        </row>
        <row r="298">
          <cell r="D298">
            <v>3599.3525042021306</v>
          </cell>
          <cell r="E298">
            <v>1327.1551143893466</v>
          </cell>
          <cell r="F298">
            <v>2272.197389812784</v>
          </cell>
        </row>
        <row r="299">
          <cell r="D299">
            <v>3599.3525042021306</v>
          </cell>
          <cell r="E299">
            <v>1312.3858313555636</v>
          </cell>
          <cell r="F299">
            <v>2286.9666728465672</v>
          </cell>
        </row>
        <row r="300">
          <cell r="D300">
            <v>3599.3525042021306</v>
          </cell>
          <cell r="E300">
            <v>1297.5205479820606</v>
          </cell>
          <cell r="F300">
            <v>2301.83195622007</v>
          </cell>
        </row>
        <row r="301">
          <cell r="D301">
            <v>3599.3525042021306</v>
          </cell>
          <cell r="E301">
            <v>1282.5586402666302</v>
          </cell>
          <cell r="F301">
            <v>2316.7938639355007</v>
          </cell>
        </row>
        <row r="302">
          <cell r="D302">
            <v>3599.3525042021306</v>
          </cell>
          <cell r="E302">
            <v>1267.4994801510495</v>
          </cell>
          <cell r="F302">
            <v>2331.8530240510809</v>
          </cell>
        </row>
        <row r="303">
          <cell r="D303">
            <v>3599.3525042021306</v>
          </cell>
          <cell r="E303">
            <v>1252.3424354947174</v>
          </cell>
          <cell r="F303">
            <v>2347.0100687074132</v>
          </cell>
        </row>
        <row r="304">
          <cell r="D304">
            <v>3599.3525042021306</v>
          </cell>
          <cell r="E304">
            <v>1237.0868700481192</v>
          </cell>
          <cell r="F304">
            <v>2362.2656341540114</v>
          </cell>
        </row>
        <row r="305">
          <cell r="D305">
            <v>3599.3525042021306</v>
          </cell>
          <cell r="E305">
            <v>1221.7321434261182</v>
          </cell>
          <cell r="F305">
            <v>2377.6203607760126</v>
          </cell>
        </row>
        <row r="306">
          <cell r="D306">
            <v>3599.3525042021306</v>
          </cell>
          <cell r="E306">
            <v>1206.2776110810742</v>
          </cell>
          <cell r="F306">
            <v>2393.0748931210564</v>
          </cell>
        </row>
        <row r="307">
          <cell r="D307">
            <v>3599.3525042021306</v>
          </cell>
          <cell r="E307">
            <v>1190.7226242757872</v>
          </cell>
          <cell r="F307">
            <v>2408.6298799263432</v>
          </cell>
        </row>
        <row r="308">
          <cell r="D308">
            <v>3599.3525042021306</v>
          </cell>
          <cell r="E308">
            <v>1175.0665300562662</v>
          </cell>
          <cell r="F308">
            <v>2424.2859741458642</v>
          </cell>
        </row>
        <row r="309">
          <cell r="D309">
            <v>3599.3525042021306</v>
          </cell>
          <cell r="E309">
            <v>1159.308671224318</v>
          </cell>
          <cell r="F309">
            <v>2440.0438329778126</v>
          </cell>
        </row>
        <row r="310">
          <cell r="D310">
            <v>3599.3525042021306</v>
          </cell>
          <cell r="E310">
            <v>1143.448386309962</v>
          </cell>
          <cell r="F310">
            <v>2455.9041178921689</v>
          </cell>
        </row>
        <row r="311">
          <cell r="D311">
            <v>3599.3525042021306</v>
          </cell>
          <cell r="E311">
            <v>1127.485009543663</v>
          </cell>
          <cell r="F311">
            <v>2471.8674946584679</v>
          </cell>
        </row>
        <row r="312">
          <cell r="D312">
            <v>3599.3525042021306</v>
          </cell>
          <cell r="E312">
            <v>1111.4178708283828</v>
          </cell>
          <cell r="F312">
            <v>2487.9346333737476</v>
          </cell>
        </row>
        <row r="313">
          <cell r="D313">
            <v>3599.3525042021306</v>
          </cell>
          <cell r="E313">
            <v>1095.2462957114535</v>
          </cell>
          <cell r="F313">
            <v>2504.1062084906771</v>
          </cell>
        </row>
        <row r="314">
          <cell r="D314">
            <v>3599.3525042021306</v>
          </cell>
          <cell r="E314">
            <v>1078.9696053562641</v>
          </cell>
          <cell r="F314">
            <v>2520.3828988458663</v>
          </cell>
        </row>
        <row r="315">
          <cell r="D315">
            <v>3599.3525042021306</v>
          </cell>
          <cell r="E315">
            <v>1062.587116513766</v>
          </cell>
          <cell r="F315">
            <v>2536.7653876883646</v>
          </cell>
        </row>
        <row r="316">
          <cell r="D316">
            <v>3599.3525042021306</v>
          </cell>
          <cell r="E316">
            <v>1046.0981414937917</v>
          </cell>
          <cell r="F316">
            <v>2553.2543627083387</v>
          </cell>
        </row>
        <row r="317">
          <cell r="D317">
            <v>3599.3525042021306</v>
          </cell>
          <cell r="E317">
            <v>1029.5019881361875</v>
          </cell>
          <cell r="F317">
            <v>2569.8505160659433</v>
          </cell>
        </row>
        <row r="318">
          <cell r="D318">
            <v>3599.3525042021306</v>
          </cell>
          <cell r="E318">
            <v>1012.7979597817588</v>
          </cell>
          <cell r="F318">
            <v>2586.5545444203717</v>
          </cell>
        </row>
        <row r="319">
          <cell r="D319">
            <v>3599.3525042021306</v>
          </cell>
          <cell r="E319">
            <v>995.98535524302645</v>
          </cell>
          <cell r="F319">
            <v>2603.3671489591043</v>
          </cell>
        </row>
        <row r="320">
          <cell r="D320">
            <v>3599.3525042021306</v>
          </cell>
          <cell r="E320">
            <v>979.06346877479234</v>
          </cell>
          <cell r="F320">
            <v>2620.2890354273381</v>
          </cell>
        </row>
        <row r="321">
          <cell r="D321">
            <v>3599.3525042021306</v>
          </cell>
          <cell r="E321">
            <v>962.0315900445147</v>
          </cell>
          <cell r="F321">
            <v>2637.3209141576158</v>
          </cell>
        </row>
        <row r="322">
          <cell r="D322">
            <v>3599.3525042021306</v>
          </cell>
          <cell r="E322">
            <v>944.88900410249016</v>
          </cell>
          <cell r="F322">
            <v>2654.4635000996404</v>
          </cell>
        </row>
        <row r="323">
          <cell r="D323">
            <v>3599.3525042021306</v>
          </cell>
          <cell r="E323">
            <v>927.63499135184259</v>
          </cell>
          <cell r="F323">
            <v>2671.7175128502881</v>
          </cell>
        </row>
        <row r="324">
          <cell r="D324">
            <v>3599.3525042021306</v>
          </cell>
          <cell r="E324">
            <v>910.26882751831556</v>
          </cell>
          <cell r="F324">
            <v>2689.0836766838152</v>
          </cell>
        </row>
        <row r="325">
          <cell r="D325">
            <v>3599.3525042021306</v>
          </cell>
          <cell r="E325">
            <v>892.78978361987083</v>
          </cell>
          <cell r="F325">
            <v>2706.5627205822598</v>
          </cell>
        </row>
        <row r="326">
          <cell r="D326">
            <v>3599.3525042021306</v>
          </cell>
          <cell r="E326">
            <v>875.19712593608619</v>
          </cell>
          <cell r="F326">
            <v>2724.1553782660444</v>
          </cell>
        </row>
        <row r="327">
          <cell r="D327">
            <v>3599.3525042021306</v>
          </cell>
          <cell r="E327">
            <v>857.49011597735705</v>
          </cell>
          <cell r="F327">
            <v>2741.8623882247734</v>
          </cell>
        </row>
        <row r="328">
          <cell r="D328">
            <v>3599.3525042021306</v>
          </cell>
          <cell r="E328">
            <v>839.66801045389593</v>
          </cell>
          <cell r="F328">
            <v>2759.6844937482347</v>
          </cell>
        </row>
        <row r="329">
          <cell r="D329">
            <v>3599.3525042021306</v>
          </cell>
          <cell r="E329">
            <v>821.73006124453241</v>
          </cell>
          <cell r="F329">
            <v>2777.6224429575982</v>
          </cell>
        </row>
        <row r="330">
          <cell r="D330">
            <v>3599.3525042021306</v>
          </cell>
          <cell r="E330">
            <v>803.675515365308</v>
          </cell>
          <cell r="F330">
            <v>2795.6769888368226</v>
          </cell>
        </row>
        <row r="331">
          <cell r="D331">
            <v>3599.3525042021306</v>
          </cell>
          <cell r="E331">
            <v>785.50361493786852</v>
          </cell>
          <cell r="F331">
            <v>2813.8488892642622</v>
          </cell>
        </row>
        <row r="332">
          <cell r="D332">
            <v>3599.3525042021306</v>
          </cell>
          <cell r="E332">
            <v>767.21359715765084</v>
          </cell>
          <cell r="F332">
            <v>2832.1389070444798</v>
          </cell>
        </row>
        <row r="333">
          <cell r="D333">
            <v>3599.3525042021306</v>
          </cell>
          <cell r="E333">
            <v>748.80469426186164</v>
          </cell>
          <cell r="F333">
            <v>2850.547809940269</v>
          </cell>
        </row>
        <row r="334">
          <cell r="D334">
            <v>3599.3525042021306</v>
          </cell>
          <cell r="E334">
            <v>730.27613349725004</v>
          </cell>
          <cell r="F334">
            <v>2869.0763707048804</v>
          </cell>
        </row>
        <row r="335">
          <cell r="D335">
            <v>3599.3525042021306</v>
          </cell>
          <cell r="E335">
            <v>711.6271370876683</v>
          </cell>
          <cell r="F335">
            <v>2887.7253671144622</v>
          </cell>
        </row>
        <row r="336">
          <cell r="D336">
            <v>3599.3525042021306</v>
          </cell>
          <cell r="E336">
            <v>692.85692220142437</v>
          </cell>
          <cell r="F336">
            <v>2906.4955820007062</v>
          </cell>
        </row>
        <row r="337">
          <cell r="D337">
            <v>3599.3525042021306</v>
          </cell>
          <cell r="E337">
            <v>673.96470091841968</v>
          </cell>
          <cell r="F337">
            <v>2925.387803283711</v>
          </cell>
        </row>
        <row r="338">
          <cell r="D338">
            <v>3599.3525042021306</v>
          </cell>
          <cell r="E338">
            <v>654.94968019707562</v>
          </cell>
          <cell r="F338">
            <v>2944.4028240050548</v>
          </cell>
        </row>
        <row r="339">
          <cell r="D339">
            <v>3599.3525042021306</v>
          </cell>
          <cell r="E339">
            <v>635.81106184104272</v>
          </cell>
          <cell r="F339">
            <v>2963.5414423610878</v>
          </cell>
        </row>
        <row r="340">
          <cell r="D340">
            <v>3599.3525042021306</v>
          </cell>
          <cell r="E340">
            <v>616.54804246569563</v>
          </cell>
          <cell r="F340">
            <v>2982.8044617364349</v>
          </cell>
        </row>
        <row r="341">
          <cell r="D341">
            <v>3599.3525042021306</v>
          </cell>
          <cell r="E341">
            <v>597.15981346440878</v>
          </cell>
          <cell r="F341">
            <v>3002.1926907377219</v>
          </cell>
        </row>
        <row r="342">
          <cell r="D342">
            <v>3599.3525042021306</v>
          </cell>
          <cell r="E342">
            <v>577.64556097461366</v>
          </cell>
          <cell r="F342">
            <v>3021.7069432275171</v>
          </cell>
        </row>
        <row r="343">
          <cell r="D343">
            <v>3599.3525042021306</v>
          </cell>
          <cell r="E343">
            <v>558.00446584363488</v>
          </cell>
          <cell r="F343">
            <v>3041.3480383584956</v>
          </cell>
        </row>
        <row r="344">
          <cell r="D344">
            <v>3599.3525042021306</v>
          </cell>
          <cell r="E344">
            <v>538.2357035943046</v>
          </cell>
          <cell r="F344">
            <v>3061.116800607826</v>
          </cell>
        </row>
        <row r="345">
          <cell r="D345">
            <v>3599.3525042021306</v>
          </cell>
          <cell r="E345">
            <v>518.33844439035374</v>
          </cell>
          <cell r="F345">
            <v>3081.0140598117769</v>
          </cell>
        </row>
        <row r="346">
          <cell r="D346">
            <v>3599.3525042021306</v>
          </cell>
          <cell r="E346">
            <v>498.31185300157722</v>
          </cell>
          <cell r="F346">
            <v>3101.0406512005534</v>
          </cell>
        </row>
        <row r="347">
          <cell r="D347">
            <v>3599.3525042021306</v>
          </cell>
          <cell r="E347">
            <v>478.15508876877357</v>
          </cell>
          <cell r="F347">
            <v>3121.197415433357</v>
          </cell>
        </row>
        <row r="348">
          <cell r="D348">
            <v>3599.3525042021306</v>
          </cell>
          <cell r="E348">
            <v>457.86730556845674</v>
          </cell>
          <cell r="F348">
            <v>3141.4851986336739</v>
          </cell>
        </row>
        <row r="349">
          <cell r="D349">
            <v>3599.3525042021306</v>
          </cell>
          <cell r="E349">
            <v>437.44765177733785</v>
          </cell>
          <cell r="F349">
            <v>3161.9048524247928</v>
          </cell>
        </row>
        <row r="350">
          <cell r="D350">
            <v>3599.3525042021306</v>
          </cell>
          <cell r="E350">
            <v>416.89527023657678</v>
          </cell>
          <cell r="F350">
            <v>3182.4572339655538</v>
          </cell>
        </row>
        <row r="351">
          <cell r="D351">
            <v>3599.3525042021306</v>
          </cell>
          <cell r="E351">
            <v>396.20929821580063</v>
          </cell>
          <cell r="F351">
            <v>3203.14320598633</v>
          </cell>
        </row>
        <row r="352">
          <cell r="D352">
            <v>3599.3525042021306</v>
          </cell>
          <cell r="E352">
            <v>375.38886737688949</v>
          </cell>
          <cell r="F352">
            <v>3223.9636368252413</v>
          </cell>
        </row>
        <row r="353">
          <cell r="D353">
            <v>3599.3525042021306</v>
          </cell>
          <cell r="E353">
            <v>354.43310373752541</v>
          </cell>
          <cell r="F353">
            <v>3244.9194004646051</v>
          </cell>
        </row>
        <row r="354">
          <cell r="D354">
            <v>3599.3525042021306</v>
          </cell>
          <cell r="E354">
            <v>333.34112763450548</v>
          </cell>
          <cell r="F354">
            <v>3266.0113765676251</v>
          </cell>
        </row>
        <row r="355">
          <cell r="D355">
            <v>3599.3525042021306</v>
          </cell>
          <cell r="E355">
            <v>312.1120536868159</v>
          </cell>
          <cell r="F355">
            <v>3287.2404505153145</v>
          </cell>
        </row>
        <row r="356">
          <cell r="D356">
            <v>3599.3525042021306</v>
          </cell>
          <cell r="E356">
            <v>290.74499075846632</v>
          </cell>
          <cell r="F356">
            <v>3308.6075134436642</v>
          </cell>
        </row>
        <row r="357">
          <cell r="D357">
            <v>3599.3525042021306</v>
          </cell>
          <cell r="E357">
            <v>269.23904192108256</v>
          </cell>
          <cell r="F357">
            <v>3330.1134622810482</v>
          </cell>
        </row>
        <row r="358">
          <cell r="D358">
            <v>3599.3525042021306</v>
          </cell>
          <cell r="E358">
            <v>247.59330441625571</v>
          </cell>
          <cell r="F358">
            <v>3351.7591997858749</v>
          </cell>
        </row>
        <row r="359">
          <cell r="D359">
            <v>3599.3525042021306</v>
          </cell>
          <cell r="E359">
            <v>225.80686961764752</v>
          </cell>
          <cell r="F359">
            <v>3373.5456345844832</v>
          </cell>
        </row>
        <row r="360">
          <cell r="D360">
            <v>3599.3525042021306</v>
          </cell>
          <cell r="E360">
            <v>203.8788229928484</v>
          </cell>
          <cell r="F360">
            <v>3395.4736812092824</v>
          </cell>
        </row>
        <row r="361">
          <cell r="D361">
            <v>3599.3525042021306</v>
          </cell>
          <cell r="E361">
            <v>181.80824406498803</v>
          </cell>
          <cell r="F361">
            <v>3417.5442601371424</v>
          </cell>
        </row>
        <row r="362">
          <cell r="D362">
            <v>3599.3525042021306</v>
          </cell>
          <cell r="E362">
            <v>159.59420637409661</v>
          </cell>
          <cell r="F362">
            <v>3439.7582978280338</v>
          </cell>
        </row>
        <row r="363">
          <cell r="D363">
            <v>3599.3525042021306</v>
          </cell>
          <cell r="E363">
            <v>137.2357774382144</v>
          </cell>
          <cell r="F363">
            <v>3462.1167267639162</v>
          </cell>
        </row>
        <row r="364">
          <cell r="D364">
            <v>3599.3525042021306</v>
          </cell>
          <cell r="E364">
            <v>114.73201871424892</v>
          </cell>
          <cell r="F364">
            <v>3484.6204854878815</v>
          </cell>
        </row>
        <row r="365">
          <cell r="D365">
            <v>3599.3525042021306</v>
          </cell>
          <cell r="E365">
            <v>92.081985558577699</v>
          </cell>
          <cell r="F365">
            <v>3507.2705186435528</v>
          </cell>
        </row>
        <row r="366">
          <cell r="D366">
            <v>3599.3525042021306</v>
          </cell>
          <cell r="E366">
            <v>69.284727187394608</v>
          </cell>
          <cell r="F366">
            <v>3530.0677770147358</v>
          </cell>
        </row>
        <row r="367">
          <cell r="D367">
            <v>3599.3525042021306</v>
          </cell>
          <cell r="E367">
            <v>46.339286636798825</v>
          </cell>
          <cell r="F367">
            <v>3553.0132175653316</v>
          </cell>
        </row>
        <row r="368">
          <cell r="D368">
            <v>3599.3525042021306</v>
          </cell>
          <cell r="E368">
            <v>23.244700722624174</v>
          </cell>
          <cell r="F368">
            <v>3576.1078034795064</v>
          </cell>
        </row>
      </sheetData>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ta"/>
      <sheetName val="CPR"/>
    </sheetNames>
    <sheetDataSet>
      <sheetData sheetId="0">
        <row r="2">
          <cell r="C2">
            <v>0.06</v>
          </cell>
          <cell r="E2">
            <v>100</v>
          </cell>
          <cell r="G2">
            <v>200</v>
          </cell>
        </row>
        <row r="3">
          <cell r="C3" t="str">
            <v>CPR</v>
          </cell>
          <cell r="E3" t="str">
            <v>PSA</v>
          </cell>
          <cell r="G3" t="str">
            <v>PSA</v>
          </cell>
        </row>
        <row r="4">
          <cell r="C4">
            <v>0.06</v>
          </cell>
          <cell r="E4">
            <v>2E-3</v>
          </cell>
          <cell r="G4">
            <v>4.0000000000000001E-3</v>
          </cell>
        </row>
        <row r="5">
          <cell r="C5">
            <v>0.06</v>
          </cell>
          <cell r="E5">
            <v>4.0000000000000001E-3</v>
          </cell>
          <cell r="G5">
            <v>8.0000000000000002E-3</v>
          </cell>
        </row>
        <row r="6">
          <cell r="C6">
            <v>0.06</v>
          </cell>
          <cell r="E6">
            <v>6.0000000000000001E-3</v>
          </cell>
          <cell r="G6">
            <v>1.2E-2</v>
          </cell>
        </row>
        <row r="7">
          <cell r="C7">
            <v>0.06</v>
          </cell>
          <cell r="E7">
            <v>8.0000000000000002E-3</v>
          </cell>
          <cell r="G7">
            <v>1.6E-2</v>
          </cell>
        </row>
        <row r="8">
          <cell r="C8">
            <v>0.06</v>
          </cell>
          <cell r="E8">
            <v>0.01</v>
          </cell>
          <cell r="G8">
            <v>0.02</v>
          </cell>
        </row>
        <row r="9">
          <cell r="C9">
            <v>0.06</v>
          </cell>
          <cell r="E9">
            <v>1.2E-2</v>
          </cell>
          <cell r="G9">
            <v>2.4E-2</v>
          </cell>
        </row>
        <row r="10">
          <cell r="C10">
            <v>0.06</v>
          </cell>
          <cell r="E10">
            <v>1.4E-2</v>
          </cell>
          <cell r="G10">
            <v>2.8000000000000001E-2</v>
          </cell>
        </row>
        <row r="11">
          <cell r="C11">
            <v>0.06</v>
          </cell>
          <cell r="E11">
            <v>1.6E-2</v>
          </cell>
          <cell r="G11">
            <v>3.2000000000000001E-2</v>
          </cell>
        </row>
        <row r="12">
          <cell r="C12">
            <v>0.06</v>
          </cell>
          <cell r="E12">
            <v>1.8000000000000002E-2</v>
          </cell>
          <cell r="G12">
            <v>3.6000000000000004E-2</v>
          </cell>
        </row>
        <row r="13">
          <cell r="C13">
            <v>0.06</v>
          </cell>
          <cell r="E13">
            <v>0.02</v>
          </cell>
          <cell r="G13">
            <v>0.04</v>
          </cell>
        </row>
        <row r="14">
          <cell r="C14">
            <v>0.06</v>
          </cell>
          <cell r="E14">
            <v>2.1999999999999999E-2</v>
          </cell>
          <cell r="G14">
            <v>4.3999999999999997E-2</v>
          </cell>
        </row>
        <row r="15">
          <cell r="C15">
            <v>0.06</v>
          </cell>
          <cell r="E15">
            <v>2.4E-2</v>
          </cell>
          <cell r="G15">
            <v>4.8000000000000001E-2</v>
          </cell>
        </row>
        <row r="16">
          <cell r="C16">
            <v>0.06</v>
          </cell>
          <cell r="E16">
            <v>2.6000000000000002E-2</v>
          </cell>
          <cell r="G16">
            <v>5.2000000000000005E-2</v>
          </cell>
        </row>
        <row r="17">
          <cell r="C17">
            <v>0.06</v>
          </cell>
          <cell r="E17">
            <v>2.8000000000000001E-2</v>
          </cell>
          <cell r="G17">
            <v>5.6000000000000001E-2</v>
          </cell>
        </row>
        <row r="18">
          <cell r="C18">
            <v>0.06</v>
          </cell>
          <cell r="E18">
            <v>2.9999999999999995E-2</v>
          </cell>
          <cell r="G18">
            <v>5.9999999999999991E-2</v>
          </cell>
        </row>
        <row r="19">
          <cell r="C19">
            <v>0.06</v>
          </cell>
          <cell r="E19">
            <v>3.2000000000000001E-2</v>
          </cell>
          <cell r="G19">
            <v>6.4000000000000001E-2</v>
          </cell>
        </row>
        <row r="20">
          <cell r="C20">
            <v>0.06</v>
          </cell>
          <cell r="E20">
            <v>3.4000000000000002E-2</v>
          </cell>
          <cell r="G20">
            <v>6.8000000000000005E-2</v>
          </cell>
        </row>
        <row r="21">
          <cell r="C21">
            <v>0.06</v>
          </cell>
          <cell r="E21">
            <v>3.6000000000000004E-2</v>
          </cell>
          <cell r="G21">
            <v>7.2000000000000008E-2</v>
          </cell>
        </row>
        <row r="22">
          <cell r="C22">
            <v>0.06</v>
          </cell>
          <cell r="E22">
            <v>3.7999999999999999E-2</v>
          </cell>
          <cell r="G22">
            <v>7.5999999999999998E-2</v>
          </cell>
        </row>
        <row r="23">
          <cell r="C23">
            <v>0.06</v>
          </cell>
          <cell r="E23">
            <v>0.04</v>
          </cell>
          <cell r="G23">
            <v>0.08</v>
          </cell>
        </row>
        <row r="24">
          <cell r="C24">
            <v>0.06</v>
          </cell>
          <cell r="E24">
            <v>4.2000000000000003E-2</v>
          </cell>
          <cell r="G24">
            <v>8.4000000000000005E-2</v>
          </cell>
        </row>
        <row r="25">
          <cell r="C25">
            <v>0.06</v>
          </cell>
          <cell r="E25">
            <v>4.3999999999999997E-2</v>
          </cell>
          <cell r="G25">
            <v>8.7999999999999995E-2</v>
          </cell>
        </row>
        <row r="26">
          <cell r="C26">
            <v>0.06</v>
          </cell>
          <cell r="E26">
            <v>4.5999999999999999E-2</v>
          </cell>
          <cell r="G26">
            <v>9.1999999999999998E-2</v>
          </cell>
        </row>
        <row r="27">
          <cell r="C27">
            <v>0.06</v>
          </cell>
          <cell r="E27">
            <v>4.8000000000000001E-2</v>
          </cell>
          <cell r="G27">
            <v>9.6000000000000002E-2</v>
          </cell>
        </row>
        <row r="28">
          <cell r="C28">
            <v>0.06</v>
          </cell>
          <cell r="E28">
            <v>0.05</v>
          </cell>
          <cell r="G28">
            <v>0.1</v>
          </cell>
        </row>
        <row r="29">
          <cell r="C29">
            <v>0.06</v>
          </cell>
          <cell r="E29">
            <v>5.2000000000000005E-2</v>
          </cell>
          <cell r="G29">
            <v>0.10400000000000001</v>
          </cell>
        </row>
        <row r="30">
          <cell r="C30">
            <v>0.06</v>
          </cell>
          <cell r="E30">
            <v>5.3999999999999999E-2</v>
          </cell>
          <cell r="G30">
            <v>0.108</v>
          </cell>
        </row>
        <row r="31">
          <cell r="C31">
            <v>0.06</v>
          </cell>
          <cell r="E31">
            <v>5.6000000000000001E-2</v>
          </cell>
          <cell r="G31">
            <v>0.112</v>
          </cell>
        </row>
        <row r="32">
          <cell r="C32">
            <v>0.06</v>
          </cell>
          <cell r="E32">
            <v>5.8000000000000003E-2</v>
          </cell>
          <cell r="G32">
            <v>0.11600000000000001</v>
          </cell>
        </row>
        <row r="33">
          <cell r="C33">
            <v>0.06</v>
          </cell>
          <cell r="E33">
            <v>5.9999999999999991E-2</v>
          </cell>
          <cell r="G33">
            <v>0.11999999999999998</v>
          </cell>
        </row>
        <row r="34">
          <cell r="C34">
            <v>0.06</v>
          </cell>
          <cell r="E34">
            <v>0.06</v>
          </cell>
          <cell r="G34">
            <v>0.12</v>
          </cell>
        </row>
        <row r="35">
          <cell r="C35">
            <v>0.06</v>
          </cell>
          <cell r="E35">
            <v>0.06</v>
          </cell>
          <cell r="G35">
            <v>0.12</v>
          </cell>
        </row>
        <row r="36">
          <cell r="C36">
            <v>0.06</v>
          </cell>
          <cell r="E36">
            <v>0.06</v>
          </cell>
          <cell r="G36">
            <v>0.12</v>
          </cell>
        </row>
        <row r="37">
          <cell r="C37">
            <v>0.06</v>
          </cell>
          <cell r="E37">
            <v>0.06</v>
          </cell>
          <cell r="G37">
            <v>0.12</v>
          </cell>
        </row>
        <row r="38">
          <cell r="C38">
            <v>0.06</v>
          </cell>
          <cell r="E38">
            <v>0.06</v>
          </cell>
          <cell r="G38">
            <v>0.12</v>
          </cell>
        </row>
        <row r="39">
          <cell r="C39">
            <v>0.06</v>
          </cell>
          <cell r="E39">
            <v>0.06</v>
          </cell>
          <cell r="G39">
            <v>0.12</v>
          </cell>
        </row>
        <row r="40">
          <cell r="C40">
            <v>0.06</v>
          </cell>
          <cell r="E40">
            <v>0.06</v>
          </cell>
          <cell r="G40">
            <v>0.12</v>
          </cell>
        </row>
        <row r="41">
          <cell r="C41">
            <v>0.06</v>
          </cell>
          <cell r="E41">
            <v>0.06</v>
          </cell>
          <cell r="G41">
            <v>0.12</v>
          </cell>
        </row>
        <row r="42">
          <cell r="C42">
            <v>0.06</v>
          </cell>
          <cell r="E42">
            <v>0.06</v>
          </cell>
          <cell r="G42">
            <v>0.12</v>
          </cell>
        </row>
        <row r="43">
          <cell r="C43">
            <v>0.06</v>
          </cell>
          <cell r="E43">
            <v>0.06</v>
          </cell>
          <cell r="G43">
            <v>0.12</v>
          </cell>
        </row>
        <row r="44">
          <cell r="C44">
            <v>0.06</v>
          </cell>
          <cell r="E44">
            <v>0.06</v>
          </cell>
          <cell r="G44">
            <v>0.12</v>
          </cell>
        </row>
        <row r="45">
          <cell r="C45">
            <v>0.06</v>
          </cell>
          <cell r="E45">
            <v>0.06</v>
          </cell>
          <cell r="G45">
            <v>0.12</v>
          </cell>
        </row>
        <row r="46">
          <cell r="C46">
            <v>0.06</v>
          </cell>
          <cell r="E46">
            <v>0.06</v>
          </cell>
          <cell r="G46">
            <v>0.12</v>
          </cell>
        </row>
        <row r="47">
          <cell r="C47">
            <v>0.06</v>
          </cell>
          <cell r="E47">
            <v>0.06</v>
          </cell>
          <cell r="G47">
            <v>0.12</v>
          </cell>
        </row>
        <row r="48">
          <cell r="C48">
            <v>0.06</v>
          </cell>
          <cell r="E48">
            <v>0.06</v>
          </cell>
          <cell r="G48">
            <v>0.12</v>
          </cell>
        </row>
        <row r="49">
          <cell r="C49">
            <v>0.06</v>
          </cell>
          <cell r="E49">
            <v>0.06</v>
          </cell>
          <cell r="G49">
            <v>0.12</v>
          </cell>
        </row>
        <row r="50">
          <cell r="C50">
            <v>0.06</v>
          </cell>
          <cell r="E50">
            <v>0.06</v>
          </cell>
          <cell r="G50">
            <v>0.12</v>
          </cell>
        </row>
        <row r="51">
          <cell r="C51">
            <v>0.06</v>
          </cell>
          <cell r="E51">
            <v>0.06</v>
          </cell>
          <cell r="G51">
            <v>0.12</v>
          </cell>
        </row>
        <row r="52">
          <cell r="C52">
            <v>0.06</v>
          </cell>
          <cell r="E52">
            <v>0.06</v>
          </cell>
          <cell r="G52">
            <v>0.12</v>
          </cell>
        </row>
        <row r="53">
          <cell r="C53">
            <v>0.06</v>
          </cell>
          <cell r="E53">
            <v>0.06</v>
          </cell>
          <cell r="G53">
            <v>0.12</v>
          </cell>
        </row>
        <row r="54">
          <cell r="C54">
            <v>0.06</v>
          </cell>
          <cell r="E54">
            <v>0.06</v>
          </cell>
          <cell r="G54">
            <v>0.12</v>
          </cell>
        </row>
        <row r="55">
          <cell r="C55">
            <v>0.06</v>
          </cell>
          <cell r="E55">
            <v>0.06</v>
          </cell>
          <cell r="G55">
            <v>0.12</v>
          </cell>
        </row>
        <row r="56">
          <cell r="C56">
            <v>0.06</v>
          </cell>
          <cell r="E56">
            <v>0.06</v>
          </cell>
          <cell r="G56">
            <v>0.12</v>
          </cell>
        </row>
        <row r="57">
          <cell r="C57">
            <v>0.06</v>
          </cell>
          <cell r="E57">
            <v>0.06</v>
          </cell>
          <cell r="G57">
            <v>0.12</v>
          </cell>
        </row>
        <row r="58">
          <cell r="C58">
            <v>0.06</v>
          </cell>
          <cell r="E58">
            <v>0.06</v>
          </cell>
          <cell r="G58">
            <v>0.12</v>
          </cell>
        </row>
        <row r="59">
          <cell r="C59">
            <v>0.06</v>
          </cell>
          <cell r="E59">
            <v>0.06</v>
          </cell>
          <cell r="G59">
            <v>0.12</v>
          </cell>
        </row>
        <row r="60">
          <cell r="C60">
            <v>0.06</v>
          </cell>
          <cell r="E60">
            <v>0.06</v>
          </cell>
          <cell r="G60">
            <v>0.12</v>
          </cell>
        </row>
        <row r="61">
          <cell r="C61">
            <v>0.06</v>
          </cell>
          <cell r="E61">
            <v>0.06</v>
          </cell>
          <cell r="G61">
            <v>0.12</v>
          </cell>
        </row>
        <row r="62">
          <cell r="C62">
            <v>0.06</v>
          </cell>
          <cell r="E62">
            <v>0.06</v>
          </cell>
          <cell r="G62">
            <v>0.12</v>
          </cell>
        </row>
        <row r="63">
          <cell r="C63">
            <v>0.06</v>
          </cell>
          <cell r="E63">
            <v>0.06</v>
          </cell>
          <cell r="G63">
            <v>0.12</v>
          </cell>
        </row>
      </sheetData>
      <sheetData sheetId="1"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41"/>
  <sheetViews>
    <sheetView topLeftCell="A7" zoomScale="77" zoomScaleNormal="73" zoomScaleSheetLayoutView="69" workbookViewId="0">
      <selection activeCell="D37" sqref="D37"/>
    </sheetView>
  </sheetViews>
  <sheetFormatPr defaultColWidth="9.109375" defaultRowHeight="15.6" x14ac:dyDescent="0.3"/>
  <cols>
    <col min="1" max="1" width="13.109375" style="1" customWidth="1"/>
    <col min="2" max="2" width="28.6640625" style="176" bestFit="1" customWidth="1"/>
    <col min="3" max="3" width="15.44140625" style="176" customWidth="1"/>
    <col min="4" max="4" width="14.44140625" style="176" bestFit="1" customWidth="1"/>
    <col min="5" max="5" width="15.5546875" style="176" customWidth="1"/>
    <col min="6" max="6" width="16.6640625" style="176" customWidth="1"/>
    <col min="7" max="7" width="9.109375" style="1"/>
    <col min="8" max="8" width="35.109375" style="1" bestFit="1" customWidth="1"/>
    <col min="9" max="16384" width="9.109375" style="1"/>
  </cols>
  <sheetData>
    <row r="2" spans="1:9" x14ac:dyDescent="0.3">
      <c r="C2" s="217" t="s">
        <v>15</v>
      </c>
      <c r="D2" s="217"/>
      <c r="E2" s="217"/>
      <c r="F2" s="217"/>
    </row>
    <row r="4" spans="1:9" x14ac:dyDescent="0.3">
      <c r="B4" s="177" t="s">
        <v>4</v>
      </c>
      <c r="C4" s="180">
        <v>7</v>
      </c>
      <c r="D4" s="181"/>
      <c r="E4" s="180">
        <v>7</v>
      </c>
      <c r="F4" s="181"/>
    </row>
    <row r="5" spans="1:9" x14ac:dyDescent="0.3">
      <c r="B5" s="177" t="s">
        <v>3</v>
      </c>
      <c r="C5" s="182">
        <v>3.875E-2</v>
      </c>
      <c r="D5" s="183"/>
      <c r="E5" s="182">
        <v>3.875E-2</v>
      </c>
      <c r="F5" s="183"/>
      <c r="H5" s="2" t="s">
        <v>7</v>
      </c>
      <c r="I5" s="162" t="s">
        <v>172</v>
      </c>
    </row>
    <row r="6" spans="1:9" x14ac:dyDescent="0.3">
      <c r="B6" s="177" t="s">
        <v>0</v>
      </c>
      <c r="C6" s="184">
        <v>1000</v>
      </c>
      <c r="D6" s="183" t="s">
        <v>2</v>
      </c>
      <c r="E6" s="184">
        <v>1000</v>
      </c>
      <c r="F6" s="183" t="s">
        <v>2</v>
      </c>
      <c r="H6" s="2" t="s">
        <v>8</v>
      </c>
      <c r="I6" s="162" t="s">
        <v>175</v>
      </c>
    </row>
    <row r="7" spans="1:9" x14ac:dyDescent="0.3">
      <c r="B7" s="178" t="s">
        <v>1</v>
      </c>
      <c r="C7" s="182">
        <v>2.5000000000000001E-2</v>
      </c>
      <c r="D7" s="183"/>
      <c r="E7" s="182">
        <v>2.5000000000000001E-2</v>
      </c>
      <c r="F7" s="183"/>
      <c r="H7" s="2" t="s">
        <v>9</v>
      </c>
      <c r="I7" s="162" t="s">
        <v>173</v>
      </c>
    </row>
    <row r="8" spans="1:9" x14ac:dyDescent="0.3">
      <c r="B8" s="177" t="s">
        <v>14</v>
      </c>
      <c r="C8" s="185">
        <v>1</v>
      </c>
      <c r="D8" s="183"/>
      <c r="E8" s="185">
        <v>2</v>
      </c>
      <c r="F8" s="183"/>
      <c r="H8" s="2" t="s">
        <v>10</v>
      </c>
      <c r="I8" s="162" t="s">
        <v>174</v>
      </c>
    </row>
    <row r="9" spans="1:9" x14ac:dyDescent="0.3">
      <c r="B9" s="177"/>
      <c r="C9" s="186"/>
      <c r="D9" s="183"/>
      <c r="E9" s="186"/>
      <c r="F9" s="183"/>
    </row>
    <row r="10" spans="1:9" ht="31.2" x14ac:dyDescent="0.3">
      <c r="A10" s="162" t="s">
        <v>172</v>
      </c>
      <c r="B10" s="177" t="s">
        <v>224</v>
      </c>
      <c r="C10" s="187">
        <f>C5*C6</f>
        <v>38.75</v>
      </c>
      <c r="D10" s="183"/>
      <c r="E10" s="187">
        <f>E5*E6</f>
        <v>38.75</v>
      </c>
      <c r="F10" s="183"/>
    </row>
    <row r="11" spans="1:9" x14ac:dyDescent="0.3">
      <c r="A11" s="162" t="s">
        <v>175</v>
      </c>
      <c r="B11" s="177" t="s">
        <v>8</v>
      </c>
      <c r="C11" s="188">
        <f>C10/C8</f>
        <v>38.75</v>
      </c>
      <c r="D11" s="183"/>
      <c r="E11" s="188">
        <f>E10/E8</f>
        <v>19.375</v>
      </c>
      <c r="F11" s="183"/>
      <c r="H11" s="4" t="s">
        <v>7</v>
      </c>
      <c r="I11" s="163" t="s">
        <v>221</v>
      </c>
    </row>
    <row r="12" spans="1:9" x14ac:dyDescent="0.3">
      <c r="A12" s="162" t="s">
        <v>173</v>
      </c>
      <c r="B12" s="177" t="s">
        <v>9</v>
      </c>
      <c r="C12" s="189">
        <f>C7/C8</f>
        <v>2.5000000000000001E-2</v>
      </c>
      <c r="D12" s="183"/>
      <c r="E12" s="189">
        <f>E7/E8</f>
        <v>1.2500000000000001E-2</v>
      </c>
      <c r="F12" s="183"/>
      <c r="H12" s="4" t="s">
        <v>20</v>
      </c>
      <c r="I12" s="163" t="s">
        <v>176</v>
      </c>
    </row>
    <row r="13" spans="1:9" x14ac:dyDescent="0.3">
      <c r="A13" s="162" t="s">
        <v>174</v>
      </c>
      <c r="B13" s="177" t="s">
        <v>10</v>
      </c>
      <c r="C13" s="190">
        <f>C4*C8</f>
        <v>7</v>
      </c>
      <c r="D13" s="183"/>
      <c r="E13" s="190">
        <f>E4*E8</f>
        <v>14</v>
      </c>
      <c r="F13" s="183"/>
    </row>
    <row r="14" spans="1:9" x14ac:dyDescent="0.3">
      <c r="C14" s="186"/>
      <c r="D14" s="183"/>
      <c r="E14" s="186"/>
      <c r="F14" s="183"/>
      <c r="H14" s="38" t="s">
        <v>7</v>
      </c>
      <c r="I14" s="1" t="s">
        <v>222</v>
      </c>
    </row>
    <row r="15" spans="1:9" x14ac:dyDescent="0.3">
      <c r="B15" s="177" t="s">
        <v>5</v>
      </c>
      <c r="C15" s="191">
        <f>-PV(C12,C13,C11)</f>
        <v>246.0388856207004</v>
      </c>
      <c r="D15" s="183"/>
      <c r="E15" s="191">
        <f>-PV(E12,E13,E11)</f>
        <v>247.42945950138446</v>
      </c>
      <c r="F15" s="183"/>
      <c r="H15" s="46" t="s">
        <v>223</v>
      </c>
    </row>
    <row r="16" spans="1:9" x14ac:dyDescent="0.3">
      <c r="B16" s="177" t="s">
        <v>6</v>
      </c>
      <c r="C16" s="192">
        <f>-PV(C12,C13,0,C6)</f>
        <v>841.26523508341916</v>
      </c>
      <c r="D16" s="183"/>
      <c r="E16" s="192">
        <f>-PV(E12,E13,0,E6)</f>
        <v>840.36809064426814</v>
      </c>
      <c r="F16" s="183"/>
      <c r="H16" s="56" t="s">
        <v>41</v>
      </c>
    </row>
    <row r="17" spans="2:8" x14ac:dyDescent="0.3">
      <c r="B17" s="177" t="s">
        <v>227</v>
      </c>
      <c r="C17" s="191">
        <f>SUM(C15:C16)</f>
        <v>1087.3041207041197</v>
      </c>
      <c r="D17" s="183"/>
      <c r="E17" s="191">
        <f>SUM(E15:E16)</f>
        <v>1087.7975501456526</v>
      </c>
      <c r="F17" s="183"/>
      <c r="H17" s="58" t="s">
        <v>42</v>
      </c>
    </row>
    <row r="18" spans="2:8" x14ac:dyDescent="0.3">
      <c r="C18" s="186"/>
      <c r="D18" s="183"/>
      <c r="E18" s="186"/>
      <c r="F18" s="183"/>
      <c r="H18" s="56" t="s">
        <v>43</v>
      </c>
    </row>
    <row r="19" spans="2:8" x14ac:dyDescent="0.3">
      <c r="C19" s="186"/>
      <c r="D19" s="183"/>
      <c r="E19" s="186"/>
      <c r="F19" s="183"/>
      <c r="H19" s="58" t="s">
        <v>44</v>
      </c>
    </row>
    <row r="20" spans="2:8" x14ac:dyDescent="0.3">
      <c r="B20" s="177" t="s">
        <v>11</v>
      </c>
      <c r="C20" s="193">
        <f>(1/C12)*(1-1/(1+C12)^(C13))</f>
        <v>6.3493905966632358</v>
      </c>
      <c r="D20" s="194">
        <f>C11*C20</f>
        <v>246.0388856207004</v>
      </c>
      <c r="E20" s="193">
        <f>(1/E12)*(1-1/(1+E12)^(E13))</f>
        <v>12.770552748458552</v>
      </c>
      <c r="F20" s="194">
        <f>E11*E20</f>
        <v>247.42945950138446</v>
      </c>
      <c r="H20" s="2" t="s">
        <v>46</v>
      </c>
    </row>
    <row r="21" spans="2:8" ht="33" x14ac:dyDescent="0.45">
      <c r="B21" s="177" t="s">
        <v>226</v>
      </c>
      <c r="C21" s="193">
        <f>1/(1+C12)^(C13)</f>
        <v>0.84126523508341911</v>
      </c>
      <c r="D21" s="195">
        <f>C21*C6</f>
        <v>841.26523508341916</v>
      </c>
      <c r="E21" s="193">
        <f>1/(1+E12)^(E13)</f>
        <v>0.8403680906442681</v>
      </c>
      <c r="F21" s="195">
        <f>E21*E6</f>
        <v>840.36809064426814</v>
      </c>
      <c r="H21" s="2" t="s">
        <v>47</v>
      </c>
    </row>
    <row r="22" spans="2:8" ht="16.2" thickBot="1" x14ac:dyDescent="0.35">
      <c r="C22" s="196"/>
      <c r="D22" s="197">
        <f>SUM(D20:D21)</f>
        <v>1087.3041207041197</v>
      </c>
      <c r="E22" s="196"/>
      <c r="F22" s="197">
        <f>SUM(F20:F21)</f>
        <v>1087.7975501456526</v>
      </c>
      <c r="H22" s="64" t="s">
        <v>48</v>
      </c>
    </row>
    <row r="24" spans="2:8" x14ac:dyDescent="0.3">
      <c r="B24" s="179" t="s">
        <v>12</v>
      </c>
      <c r="C24" s="216" t="s">
        <v>13</v>
      </c>
      <c r="D24" s="216"/>
    </row>
    <row r="26" spans="2:8" x14ac:dyDescent="0.3">
      <c r="B26" s="177" t="s">
        <v>4</v>
      </c>
      <c r="C26" s="176">
        <v>5</v>
      </c>
    </row>
    <row r="27" spans="2:8" x14ac:dyDescent="0.3">
      <c r="B27" s="177" t="s">
        <v>3</v>
      </c>
      <c r="C27" s="198">
        <v>0.05</v>
      </c>
    </row>
    <row r="28" spans="2:8" x14ac:dyDescent="0.3">
      <c r="B28" s="177" t="s">
        <v>0</v>
      </c>
      <c r="C28" s="176">
        <v>1000</v>
      </c>
    </row>
    <row r="29" spans="2:8" x14ac:dyDescent="0.3">
      <c r="B29" s="178" t="s">
        <v>1</v>
      </c>
      <c r="C29" s="198">
        <v>7.0000000000000007E-2</v>
      </c>
    </row>
    <row r="30" spans="2:8" x14ac:dyDescent="0.3">
      <c r="B30" s="177" t="s">
        <v>14</v>
      </c>
      <c r="C30" s="176">
        <v>5</v>
      </c>
    </row>
    <row r="32" spans="2:8" x14ac:dyDescent="0.3">
      <c r="B32" s="177" t="s">
        <v>5</v>
      </c>
      <c r="C32" s="176">
        <f>(C27*1000)*((1-(1+C29)^(-C30))/C29)</f>
        <v>205.0098717973797</v>
      </c>
    </row>
    <row r="33" spans="2:3" x14ac:dyDescent="0.3">
      <c r="B33" s="177" t="s">
        <v>6</v>
      </c>
      <c r="C33" s="176">
        <f>C28/(1+C29)^C30</f>
        <v>712.98617948366837</v>
      </c>
    </row>
    <row r="34" spans="2:3" x14ac:dyDescent="0.3">
      <c r="B34" s="177" t="s">
        <v>225</v>
      </c>
      <c r="C34" s="176">
        <f>SUM(C32:C33)</f>
        <v>917.99605128104804</v>
      </c>
    </row>
    <row r="37" spans="2:3" x14ac:dyDescent="0.3">
      <c r="B37" s="176" t="s">
        <v>228</v>
      </c>
    </row>
    <row r="38" spans="2:3" x14ac:dyDescent="0.3">
      <c r="B38" s="176" t="s">
        <v>174</v>
      </c>
    </row>
    <row r="39" spans="2:3" x14ac:dyDescent="0.3">
      <c r="B39" s="176" t="s">
        <v>229</v>
      </c>
    </row>
    <row r="40" spans="2:3" x14ac:dyDescent="0.3">
      <c r="B40" s="176" t="s">
        <v>230</v>
      </c>
    </row>
    <row r="41" spans="2:3" x14ac:dyDescent="0.3">
      <c r="B41" s="176" t="s">
        <v>232</v>
      </c>
    </row>
  </sheetData>
  <mergeCells count="2">
    <mergeCell ref="C24:D24"/>
    <mergeCell ref="C2:F2"/>
  </mergeCells>
  <printOptions gridLines="1"/>
  <pageMargins left="0.7" right="0.7" top="0.75" bottom="0.75" header="0.3" footer="0.3"/>
  <pageSetup orientation="portrait" r:id="rId1"/>
  <headerFooter>
    <oddHeader>&amp;C&amp;F</oddHeader>
  </headerFooter>
  <ignoredErrors>
    <ignoredError sqref="D20:D21 E20:E21" formula="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343A4-090A-4589-8782-9B114277EF85}">
  <dimension ref="A2:J49"/>
  <sheetViews>
    <sheetView workbookViewId="0">
      <selection activeCell="F9" sqref="F9"/>
    </sheetView>
  </sheetViews>
  <sheetFormatPr defaultRowHeight="13.8" x14ac:dyDescent="0.25"/>
  <cols>
    <col min="1" max="1" width="13.88671875" style="3" customWidth="1"/>
    <col min="2" max="2" width="20.21875" style="3" bestFit="1" customWidth="1"/>
    <col min="3" max="3" width="13.109375" style="3" bestFit="1" customWidth="1"/>
    <col min="4" max="4" width="11.88671875" style="3" bestFit="1" customWidth="1"/>
    <col min="5" max="8" width="10.5546875" style="3" bestFit="1" customWidth="1"/>
    <col min="9" max="9" width="10.5546875" style="3" customWidth="1"/>
    <col min="10" max="10" width="12.33203125" style="3" customWidth="1"/>
    <col min="11" max="258" width="8.88671875" style="3"/>
    <col min="259" max="259" width="10.88671875" style="3" customWidth="1"/>
    <col min="260" max="260" width="10.6640625" style="3" bestFit="1" customWidth="1"/>
    <col min="261" max="261" width="11.33203125" style="3" bestFit="1" customWidth="1"/>
    <col min="262" max="266" width="10.44140625" style="3" bestFit="1" customWidth="1"/>
    <col min="267" max="514" width="8.88671875" style="3"/>
    <col min="515" max="515" width="10.88671875" style="3" customWidth="1"/>
    <col min="516" max="516" width="10.6640625" style="3" bestFit="1" customWidth="1"/>
    <col min="517" max="517" width="11.33203125" style="3" bestFit="1" customWidth="1"/>
    <col min="518" max="522" width="10.44140625" style="3" bestFit="1" customWidth="1"/>
    <col min="523" max="770" width="8.88671875" style="3"/>
    <col min="771" max="771" width="10.88671875" style="3" customWidth="1"/>
    <col min="772" max="772" width="10.6640625" style="3" bestFit="1" customWidth="1"/>
    <col min="773" max="773" width="11.33203125" style="3" bestFit="1" customWidth="1"/>
    <col min="774" max="778" width="10.44140625" style="3" bestFit="1" customWidth="1"/>
    <col min="779" max="1026" width="8.88671875" style="3"/>
    <col min="1027" max="1027" width="10.88671875" style="3" customWidth="1"/>
    <col min="1028" max="1028" width="10.6640625" style="3" bestFit="1" customWidth="1"/>
    <col min="1029" max="1029" width="11.33203125" style="3" bestFit="1" customWidth="1"/>
    <col min="1030" max="1034" width="10.44140625" style="3" bestFit="1" customWidth="1"/>
    <col min="1035" max="1282" width="8.88671875" style="3"/>
    <col min="1283" max="1283" width="10.88671875" style="3" customWidth="1"/>
    <col min="1284" max="1284" width="10.6640625" style="3" bestFit="1" customWidth="1"/>
    <col min="1285" max="1285" width="11.33203125" style="3" bestFit="1" customWidth="1"/>
    <col min="1286" max="1290" width="10.44140625" style="3" bestFit="1" customWidth="1"/>
    <col min="1291" max="1538" width="8.88671875" style="3"/>
    <col min="1539" max="1539" width="10.88671875" style="3" customWidth="1"/>
    <col min="1540" max="1540" width="10.6640625" style="3" bestFit="1" customWidth="1"/>
    <col min="1541" max="1541" width="11.33203125" style="3" bestFit="1" customWidth="1"/>
    <col min="1542" max="1546" width="10.44140625" style="3" bestFit="1" customWidth="1"/>
    <col min="1547" max="1794" width="8.88671875" style="3"/>
    <col min="1795" max="1795" width="10.88671875" style="3" customWidth="1"/>
    <col min="1796" max="1796" width="10.6640625" style="3" bestFit="1" customWidth="1"/>
    <col min="1797" max="1797" width="11.33203125" style="3" bestFit="1" customWidth="1"/>
    <col min="1798" max="1802" width="10.44140625" style="3" bestFit="1" customWidth="1"/>
    <col min="1803" max="2050" width="8.88671875" style="3"/>
    <col min="2051" max="2051" width="10.88671875" style="3" customWidth="1"/>
    <col min="2052" max="2052" width="10.6640625" style="3" bestFit="1" customWidth="1"/>
    <col min="2053" max="2053" width="11.33203125" style="3" bestFit="1" customWidth="1"/>
    <col min="2054" max="2058" width="10.44140625" style="3" bestFit="1" customWidth="1"/>
    <col min="2059" max="2306" width="8.88671875" style="3"/>
    <col min="2307" max="2307" width="10.88671875" style="3" customWidth="1"/>
    <col min="2308" max="2308" width="10.6640625" style="3" bestFit="1" customWidth="1"/>
    <col min="2309" max="2309" width="11.33203125" style="3" bestFit="1" customWidth="1"/>
    <col min="2310" max="2314" width="10.44140625" style="3" bestFit="1" customWidth="1"/>
    <col min="2315" max="2562" width="8.88671875" style="3"/>
    <col min="2563" max="2563" width="10.88671875" style="3" customWidth="1"/>
    <col min="2564" max="2564" width="10.6640625" style="3" bestFit="1" customWidth="1"/>
    <col min="2565" max="2565" width="11.33203125" style="3" bestFit="1" customWidth="1"/>
    <col min="2566" max="2570" width="10.44140625" style="3" bestFit="1" customWidth="1"/>
    <col min="2571" max="2818" width="8.88671875" style="3"/>
    <col min="2819" max="2819" width="10.88671875" style="3" customWidth="1"/>
    <col min="2820" max="2820" width="10.6640625" style="3" bestFit="1" customWidth="1"/>
    <col min="2821" max="2821" width="11.33203125" style="3" bestFit="1" customWidth="1"/>
    <col min="2822" max="2826" width="10.44140625" style="3" bestFit="1" customWidth="1"/>
    <col min="2827" max="3074" width="8.88671875" style="3"/>
    <col min="3075" max="3075" width="10.88671875" style="3" customWidth="1"/>
    <col min="3076" max="3076" width="10.6640625" style="3" bestFit="1" customWidth="1"/>
    <col min="3077" max="3077" width="11.33203125" style="3" bestFit="1" customWidth="1"/>
    <col min="3078" max="3082" width="10.44140625" style="3" bestFit="1" customWidth="1"/>
    <col min="3083" max="3330" width="8.88671875" style="3"/>
    <col min="3331" max="3331" width="10.88671875" style="3" customWidth="1"/>
    <col min="3332" max="3332" width="10.6640625" style="3" bestFit="1" customWidth="1"/>
    <col min="3333" max="3333" width="11.33203125" style="3" bestFit="1" customWidth="1"/>
    <col min="3334" max="3338" width="10.44140625" style="3" bestFit="1" customWidth="1"/>
    <col min="3339" max="3586" width="8.88671875" style="3"/>
    <col min="3587" max="3587" width="10.88671875" style="3" customWidth="1"/>
    <col min="3588" max="3588" width="10.6640625" style="3" bestFit="1" customWidth="1"/>
    <col min="3589" max="3589" width="11.33203125" style="3" bestFit="1" customWidth="1"/>
    <col min="3590" max="3594" width="10.44140625" style="3" bestFit="1" customWidth="1"/>
    <col min="3595" max="3842" width="8.88671875" style="3"/>
    <col min="3843" max="3843" width="10.88671875" style="3" customWidth="1"/>
    <col min="3844" max="3844" width="10.6640625" style="3" bestFit="1" customWidth="1"/>
    <col min="3845" max="3845" width="11.33203125" style="3" bestFit="1" customWidth="1"/>
    <col min="3846" max="3850" width="10.44140625" style="3" bestFit="1" customWidth="1"/>
    <col min="3851" max="4098" width="8.88671875" style="3"/>
    <col min="4099" max="4099" width="10.88671875" style="3" customWidth="1"/>
    <col min="4100" max="4100" width="10.6640625" style="3" bestFit="1" customWidth="1"/>
    <col min="4101" max="4101" width="11.33203125" style="3" bestFit="1" customWidth="1"/>
    <col min="4102" max="4106" width="10.44140625" style="3" bestFit="1" customWidth="1"/>
    <col min="4107" max="4354" width="8.88671875" style="3"/>
    <col min="4355" max="4355" width="10.88671875" style="3" customWidth="1"/>
    <col min="4356" max="4356" width="10.6640625" style="3" bestFit="1" customWidth="1"/>
    <col min="4357" max="4357" width="11.33203125" style="3" bestFit="1" customWidth="1"/>
    <col min="4358" max="4362" width="10.44140625" style="3" bestFit="1" customWidth="1"/>
    <col min="4363" max="4610" width="8.88671875" style="3"/>
    <col min="4611" max="4611" width="10.88671875" style="3" customWidth="1"/>
    <col min="4612" max="4612" width="10.6640625" style="3" bestFit="1" customWidth="1"/>
    <col min="4613" max="4613" width="11.33203125" style="3" bestFit="1" customWidth="1"/>
    <col min="4614" max="4618" width="10.44140625" style="3" bestFit="1" customWidth="1"/>
    <col min="4619" max="4866" width="8.88671875" style="3"/>
    <col min="4867" max="4867" width="10.88671875" style="3" customWidth="1"/>
    <col min="4868" max="4868" width="10.6640625" style="3" bestFit="1" customWidth="1"/>
    <col min="4869" max="4869" width="11.33203125" style="3" bestFit="1" customWidth="1"/>
    <col min="4870" max="4874" width="10.44140625" style="3" bestFit="1" customWidth="1"/>
    <col min="4875" max="5122" width="8.88671875" style="3"/>
    <col min="5123" max="5123" width="10.88671875" style="3" customWidth="1"/>
    <col min="5124" max="5124" width="10.6640625" style="3" bestFit="1" customWidth="1"/>
    <col min="5125" max="5125" width="11.33203125" style="3" bestFit="1" customWidth="1"/>
    <col min="5126" max="5130" width="10.44140625" style="3" bestFit="1" customWidth="1"/>
    <col min="5131" max="5378" width="8.88671875" style="3"/>
    <col min="5379" max="5379" width="10.88671875" style="3" customWidth="1"/>
    <col min="5380" max="5380" width="10.6640625" style="3" bestFit="1" customWidth="1"/>
    <col min="5381" max="5381" width="11.33203125" style="3" bestFit="1" customWidth="1"/>
    <col min="5382" max="5386" width="10.44140625" style="3" bestFit="1" customWidth="1"/>
    <col min="5387" max="5634" width="8.88671875" style="3"/>
    <col min="5635" max="5635" width="10.88671875" style="3" customWidth="1"/>
    <col min="5636" max="5636" width="10.6640625" style="3" bestFit="1" customWidth="1"/>
    <col min="5637" max="5637" width="11.33203125" style="3" bestFit="1" customWidth="1"/>
    <col min="5638" max="5642" width="10.44140625" style="3" bestFit="1" customWidth="1"/>
    <col min="5643" max="5890" width="8.88671875" style="3"/>
    <col min="5891" max="5891" width="10.88671875" style="3" customWidth="1"/>
    <col min="5892" max="5892" width="10.6640625" style="3" bestFit="1" customWidth="1"/>
    <col min="5893" max="5893" width="11.33203125" style="3" bestFit="1" customWidth="1"/>
    <col min="5894" max="5898" width="10.44140625" style="3" bestFit="1" customWidth="1"/>
    <col min="5899" max="6146" width="8.88671875" style="3"/>
    <col min="6147" max="6147" width="10.88671875" style="3" customWidth="1"/>
    <col min="6148" max="6148" width="10.6640625" style="3" bestFit="1" customWidth="1"/>
    <col min="6149" max="6149" width="11.33203125" style="3" bestFit="1" customWidth="1"/>
    <col min="6150" max="6154" width="10.44140625" style="3" bestFit="1" customWidth="1"/>
    <col min="6155" max="6402" width="8.88671875" style="3"/>
    <col min="6403" max="6403" width="10.88671875" style="3" customWidth="1"/>
    <col min="6404" max="6404" width="10.6640625" style="3" bestFit="1" customWidth="1"/>
    <col min="6405" max="6405" width="11.33203125" style="3" bestFit="1" customWidth="1"/>
    <col min="6406" max="6410" width="10.44140625" style="3" bestFit="1" customWidth="1"/>
    <col min="6411" max="6658" width="8.88671875" style="3"/>
    <col min="6659" max="6659" width="10.88671875" style="3" customWidth="1"/>
    <col min="6660" max="6660" width="10.6640625" style="3" bestFit="1" customWidth="1"/>
    <col min="6661" max="6661" width="11.33203125" style="3" bestFit="1" customWidth="1"/>
    <col min="6662" max="6666" width="10.44140625" style="3" bestFit="1" customWidth="1"/>
    <col min="6667" max="6914" width="8.88671875" style="3"/>
    <col min="6915" max="6915" width="10.88671875" style="3" customWidth="1"/>
    <col min="6916" max="6916" width="10.6640625" style="3" bestFit="1" customWidth="1"/>
    <col min="6917" max="6917" width="11.33203125" style="3" bestFit="1" customWidth="1"/>
    <col min="6918" max="6922" width="10.44140625" style="3" bestFit="1" customWidth="1"/>
    <col min="6923" max="7170" width="8.88671875" style="3"/>
    <col min="7171" max="7171" width="10.88671875" style="3" customWidth="1"/>
    <col min="7172" max="7172" width="10.6640625" style="3" bestFit="1" customWidth="1"/>
    <col min="7173" max="7173" width="11.33203125" style="3" bestFit="1" customWidth="1"/>
    <col min="7174" max="7178" width="10.44140625" style="3" bestFit="1" customWidth="1"/>
    <col min="7179" max="7426" width="8.88671875" style="3"/>
    <col min="7427" max="7427" width="10.88671875" style="3" customWidth="1"/>
    <col min="7428" max="7428" width="10.6640625" style="3" bestFit="1" customWidth="1"/>
    <col min="7429" max="7429" width="11.33203125" style="3" bestFit="1" customWidth="1"/>
    <col min="7430" max="7434" width="10.44140625" style="3" bestFit="1" customWidth="1"/>
    <col min="7435" max="7682" width="8.88671875" style="3"/>
    <col min="7683" max="7683" width="10.88671875" style="3" customWidth="1"/>
    <col min="7684" max="7684" width="10.6640625" style="3" bestFit="1" customWidth="1"/>
    <col min="7685" max="7685" width="11.33203125" style="3" bestFit="1" customWidth="1"/>
    <col min="7686" max="7690" width="10.44140625" style="3" bestFit="1" customWidth="1"/>
    <col min="7691" max="7938" width="8.88671875" style="3"/>
    <col min="7939" max="7939" width="10.88671875" style="3" customWidth="1"/>
    <col min="7940" max="7940" width="10.6640625" style="3" bestFit="1" customWidth="1"/>
    <col min="7941" max="7941" width="11.33203125" style="3" bestFit="1" customWidth="1"/>
    <col min="7942" max="7946" width="10.44140625" style="3" bestFit="1" customWidth="1"/>
    <col min="7947" max="8194" width="8.88671875" style="3"/>
    <col min="8195" max="8195" width="10.88671875" style="3" customWidth="1"/>
    <col min="8196" max="8196" width="10.6640625" style="3" bestFit="1" customWidth="1"/>
    <col min="8197" max="8197" width="11.33203125" style="3" bestFit="1" customWidth="1"/>
    <col min="8198" max="8202" width="10.44140625" style="3" bestFit="1" customWidth="1"/>
    <col min="8203" max="8450" width="8.88671875" style="3"/>
    <col min="8451" max="8451" width="10.88671875" style="3" customWidth="1"/>
    <col min="8452" max="8452" width="10.6640625" style="3" bestFit="1" customWidth="1"/>
    <col min="8453" max="8453" width="11.33203125" style="3" bestFit="1" customWidth="1"/>
    <col min="8454" max="8458" width="10.44140625" style="3" bestFit="1" customWidth="1"/>
    <col min="8459" max="8706" width="8.88671875" style="3"/>
    <col min="8707" max="8707" width="10.88671875" style="3" customWidth="1"/>
    <col min="8708" max="8708" width="10.6640625" style="3" bestFit="1" customWidth="1"/>
    <col min="8709" max="8709" width="11.33203125" style="3" bestFit="1" customWidth="1"/>
    <col min="8710" max="8714" width="10.44140625" style="3" bestFit="1" customWidth="1"/>
    <col min="8715" max="8962" width="8.88671875" style="3"/>
    <col min="8963" max="8963" width="10.88671875" style="3" customWidth="1"/>
    <col min="8964" max="8964" width="10.6640625" style="3" bestFit="1" customWidth="1"/>
    <col min="8965" max="8965" width="11.33203125" style="3" bestFit="1" customWidth="1"/>
    <col min="8966" max="8970" width="10.44140625" style="3" bestFit="1" customWidth="1"/>
    <col min="8971" max="9218" width="8.88671875" style="3"/>
    <col min="9219" max="9219" width="10.88671875" style="3" customWidth="1"/>
    <col min="9220" max="9220" width="10.6640625" style="3" bestFit="1" customWidth="1"/>
    <col min="9221" max="9221" width="11.33203125" style="3" bestFit="1" customWidth="1"/>
    <col min="9222" max="9226" width="10.44140625" style="3" bestFit="1" customWidth="1"/>
    <col min="9227" max="9474" width="8.88671875" style="3"/>
    <col min="9475" max="9475" width="10.88671875" style="3" customWidth="1"/>
    <col min="9476" max="9476" width="10.6640625" style="3" bestFit="1" customWidth="1"/>
    <col min="9477" max="9477" width="11.33203125" style="3" bestFit="1" customWidth="1"/>
    <col min="9478" max="9482" width="10.44140625" style="3" bestFit="1" customWidth="1"/>
    <col min="9483" max="9730" width="8.88671875" style="3"/>
    <col min="9731" max="9731" width="10.88671875" style="3" customWidth="1"/>
    <col min="9732" max="9732" width="10.6640625" style="3" bestFit="1" customWidth="1"/>
    <col min="9733" max="9733" width="11.33203125" style="3" bestFit="1" customWidth="1"/>
    <col min="9734" max="9738" width="10.44140625" style="3" bestFit="1" customWidth="1"/>
    <col min="9739" max="9986" width="8.88671875" style="3"/>
    <col min="9987" max="9987" width="10.88671875" style="3" customWidth="1"/>
    <col min="9988" max="9988" width="10.6640625" style="3" bestFit="1" customWidth="1"/>
    <col min="9989" max="9989" width="11.33203125" style="3" bestFit="1" customWidth="1"/>
    <col min="9990" max="9994" width="10.44140625" style="3" bestFit="1" customWidth="1"/>
    <col min="9995" max="10242" width="8.88671875" style="3"/>
    <col min="10243" max="10243" width="10.88671875" style="3" customWidth="1"/>
    <col min="10244" max="10244" width="10.6640625" style="3" bestFit="1" customWidth="1"/>
    <col min="10245" max="10245" width="11.33203125" style="3" bestFit="1" customWidth="1"/>
    <col min="10246" max="10250" width="10.44140625" style="3" bestFit="1" customWidth="1"/>
    <col min="10251" max="10498" width="8.88671875" style="3"/>
    <col min="10499" max="10499" width="10.88671875" style="3" customWidth="1"/>
    <col min="10500" max="10500" width="10.6640625" style="3" bestFit="1" customWidth="1"/>
    <col min="10501" max="10501" width="11.33203125" style="3" bestFit="1" customWidth="1"/>
    <col min="10502" max="10506" width="10.44140625" style="3" bestFit="1" customWidth="1"/>
    <col min="10507" max="10754" width="8.88671875" style="3"/>
    <col min="10755" max="10755" width="10.88671875" style="3" customWidth="1"/>
    <col min="10756" max="10756" width="10.6640625" style="3" bestFit="1" customWidth="1"/>
    <col min="10757" max="10757" width="11.33203125" style="3" bestFit="1" customWidth="1"/>
    <col min="10758" max="10762" width="10.44140625" style="3" bestFit="1" customWidth="1"/>
    <col min="10763" max="11010" width="8.88671875" style="3"/>
    <col min="11011" max="11011" width="10.88671875" style="3" customWidth="1"/>
    <col min="11012" max="11012" width="10.6640625" style="3" bestFit="1" customWidth="1"/>
    <col min="11013" max="11013" width="11.33203125" style="3" bestFit="1" customWidth="1"/>
    <col min="11014" max="11018" width="10.44140625" style="3" bestFit="1" customWidth="1"/>
    <col min="11019" max="11266" width="8.88671875" style="3"/>
    <col min="11267" max="11267" width="10.88671875" style="3" customWidth="1"/>
    <col min="11268" max="11268" width="10.6640625" style="3" bestFit="1" customWidth="1"/>
    <col min="11269" max="11269" width="11.33203125" style="3" bestFit="1" customWidth="1"/>
    <col min="11270" max="11274" width="10.44140625" style="3" bestFit="1" customWidth="1"/>
    <col min="11275" max="11522" width="8.88671875" style="3"/>
    <col min="11523" max="11523" width="10.88671875" style="3" customWidth="1"/>
    <col min="11524" max="11524" width="10.6640625" style="3" bestFit="1" customWidth="1"/>
    <col min="11525" max="11525" width="11.33203125" style="3" bestFit="1" customWidth="1"/>
    <col min="11526" max="11530" width="10.44140625" style="3" bestFit="1" customWidth="1"/>
    <col min="11531" max="11778" width="8.88671875" style="3"/>
    <col min="11779" max="11779" width="10.88671875" style="3" customWidth="1"/>
    <col min="11780" max="11780" width="10.6640625" style="3" bestFit="1" customWidth="1"/>
    <col min="11781" max="11781" width="11.33203125" style="3" bestFit="1" customWidth="1"/>
    <col min="11782" max="11786" width="10.44140625" style="3" bestFit="1" customWidth="1"/>
    <col min="11787" max="12034" width="8.88671875" style="3"/>
    <col min="12035" max="12035" width="10.88671875" style="3" customWidth="1"/>
    <col min="12036" max="12036" width="10.6640625" style="3" bestFit="1" customWidth="1"/>
    <col min="12037" max="12037" width="11.33203125" style="3" bestFit="1" customWidth="1"/>
    <col min="12038" max="12042" width="10.44140625" style="3" bestFit="1" customWidth="1"/>
    <col min="12043" max="12290" width="8.88671875" style="3"/>
    <col min="12291" max="12291" width="10.88671875" style="3" customWidth="1"/>
    <col min="12292" max="12292" width="10.6640625" style="3" bestFit="1" customWidth="1"/>
    <col min="12293" max="12293" width="11.33203125" style="3" bestFit="1" customWidth="1"/>
    <col min="12294" max="12298" width="10.44140625" style="3" bestFit="1" customWidth="1"/>
    <col min="12299" max="12546" width="8.88671875" style="3"/>
    <col min="12547" max="12547" width="10.88671875" style="3" customWidth="1"/>
    <col min="12548" max="12548" width="10.6640625" style="3" bestFit="1" customWidth="1"/>
    <col min="12549" max="12549" width="11.33203125" style="3" bestFit="1" customWidth="1"/>
    <col min="12550" max="12554" width="10.44140625" style="3" bestFit="1" customWidth="1"/>
    <col min="12555" max="12802" width="8.88671875" style="3"/>
    <col min="12803" max="12803" width="10.88671875" style="3" customWidth="1"/>
    <col min="12804" max="12804" width="10.6640625" style="3" bestFit="1" customWidth="1"/>
    <col min="12805" max="12805" width="11.33203125" style="3" bestFit="1" customWidth="1"/>
    <col min="12806" max="12810" width="10.44140625" style="3" bestFit="1" customWidth="1"/>
    <col min="12811" max="13058" width="8.88671875" style="3"/>
    <col min="13059" max="13059" width="10.88671875" style="3" customWidth="1"/>
    <col min="13060" max="13060" width="10.6640625" style="3" bestFit="1" customWidth="1"/>
    <col min="13061" max="13061" width="11.33203125" style="3" bestFit="1" customWidth="1"/>
    <col min="13062" max="13066" width="10.44140625" style="3" bestFit="1" customWidth="1"/>
    <col min="13067" max="13314" width="8.88671875" style="3"/>
    <col min="13315" max="13315" width="10.88671875" style="3" customWidth="1"/>
    <col min="13316" max="13316" width="10.6640625" style="3" bestFit="1" customWidth="1"/>
    <col min="13317" max="13317" width="11.33203125" style="3" bestFit="1" customWidth="1"/>
    <col min="13318" max="13322" width="10.44140625" style="3" bestFit="1" customWidth="1"/>
    <col min="13323" max="13570" width="8.88671875" style="3"/>
    <col min="13571" max="13571" width="10.88671875" style="3" customWidth="1"/>
    <col min="13572" max="13572" width="10.6640625" style="3" bestFit="1" customWidth="1"/>
    <col min="13573" max="13573" width="11.33203125" style="3" bestFit="1" customWidth="1"/>
    <col min="13574" max="13578" width="10.44140625" style="3" bestFit="1" customWidth="1"/>
    <col min="13579" max="13826" width="8.88671875" style="3"/>
    <col min="13827" max="13827" width="10.88671875" style="3" customWidth="1"/>
    <col min="13828" max="13828" width="10.6640625" style="3" bestFit="1" customWidth="1"/>
    <col min="13829" max="13829" width="11.33203125" style="3" bestFit="1" customWidth="1"/>
    <col min="13830" max="13834" width="10.44140625" style="3" bestFit="1" customWidth="1"/>
    <col min="13835" max="14082" width="8.88671875" style="3"/>
    <col min="14083" max="14083" width="10.88671875" style="3" customWidth="1"/>
    <col min="14084" max="14084" width="10.6640625" style="3" bestFit="1" customWidth="1"/>
    <col min="14085" max="14085" width="11.33203125" style="3" bestFit="1" customWidth="1"/>
    <col min="14086" max="14090" width="10.44140625" style="3" bestFit="1" customWidth="1"/>
    <col min="14091" max="14338" width="8.88671875" style="3"/>
    <col min="14339" max="14339" width="10.88671875" style="3" customWidth="1"/>
    <col min="14340" max="14340" width="10.6640625" style="3" bestFit="1" customWidth="1"/>
    <col min="14341" max="14341" width="11.33203125" style="3" bestFit="1" customWidth="1"/>
    <col min="14342" max="14346" width="10.44140625" style="3" bestFit="1" customWidth="1"/>
    <col min="14347" max="14594" width="8.88671875" style="3"/>
    <col min="14595" max="14595" width="10.88671875" style="3" customWidth="1"/>
    <col min="14596" max="14596" width="10.6640625" style="3" bestFit="1" customWidth="1"/>
    <col min="14597" max="14597" width="11.33203125" style="3" bestFit="1" customWidth="1"/>
    <col min="14598" max="14602" width="10.44140625" style="3" bestFit="1" customWidth="1"/>
    <col min="14603" max="14850" width="8.88671875" style="3"/>
    <col min="14851" max="14851" width="10.88671875" style="3" customWidth="1"/>
    <col min="14852" max="14852" width="10.6640625" style="3" bestFit="1" customWidth="1"/>
    <col min="14853" max="14853" width="11.33203125" style="3" bestFit="1" customWidth="1"/>
    <col min="14854" max="14858" width="10.44140625" style="3" bestFit="1" customWidth="1"/>
    <col min="14859" max="15106" width="8.88671875" style="3"/>
    <col min="15107" max="15107" width="10.88671875" style="3" customWidth="1"/>
    <col min="15108" max="15108" width="10.6640625" style="3" bestFit="1" customWidth="1"/>
    <col min="15109" max="15109" width="11.33203125" style="3" bestFit="1" customWidth="1"/>
    <col min="15110" max="15114" width="10.44140625" style="3" bestFit="1" customWidth="1"/>
    <col min="15115" max="15362" width="8.88671875" style="3"/>
    <col min="15363" max="15363" width="10.88671875" style="3" customWidth="1"/>
    <col min="15364" max="15364" width="10.6640625" style="3" bestFit="1" customWidth="1"/>
    <col min="15365" max="15365" width="11.33203125" style="3" bestFit="1" customWidth="1"/>
    <col min="15366" max="15370" width="10.44140625" style="3" bestFit="1" customWidth="1"/>
    <col min="15371" max="15618" width="8.88671875" style="3"/>
    <col min="15619" max="15619" width="10.88671875" style="3" customWidth="1"/>
    <col min="15620" max="15620" width="10.6640625" style="3" bestFit="1" customWidth="1"/>
    <col min="15621" max="15621" width="11.33203125" style="3" bestFit="1" customWidth="1"/>
    <col min="15622" max="15626" width="10.44140625" style="3" bestFit="1" customWidth="1"/>
    <col min="15627" max="15874" width="8.88671875" style="3"/>
    <col min="15875" max="15875" width="10.88671875" style="3" customWidth="1"/>
    <col min="15876" max="15876" width="10.6640625" style="3" bestFit="1" customWidth="1"/>
    <col min="15877" max="15877" width="11.33203125" style="3" bestFit="1" customWidth="1"/>
    <col min="15878" max="15882" width="10.44140625" style="3" bestFit="1" customWidth="1"/>
    <col min="15883" max="16130" width="8.88671875" style="3"/>
    <col min="16131" max="16131" width="10.88671875" style="3" customWidth="1"/>
    <col min="16132" max="16132" width="10.6640625" style="3" bestFit="1" customWidth="1"/>
    <col min="16133" max="16133" width="11.33203125" style="3" bestFit="1" customWidth="1"/>
    <col min="16134" max="16138" width="10.44140625" style="3" bestFit="1" customWidth="1"/>
    <col min="16139" max="16384" width="8.88671875" style="3"/>
  </cols>
  <sheetData>
    <row r="2" spans="1:10" x14ac:dyDescent="0.25">
      <c r="B2" s="4" t="s">
        <v>16</v>
      </c>
      <c r="C2" s="5">
        <v>15</v>
      </c>
      <c r="E2" s="5" t="s">
        <v>174</v>
      </c>
      <c r="F2" s="3" t="s">
        <v>233</v>
      </c>
    </row>
    <row r="3" spans="1:10" x14ac:dyDescent="0.25">
      <c r="B3" s="4" t="s">
        <v>17</v>
      </c>
      <c r="C3" s="6">
        <v>1000</v>
      </c>
      <c r="E3" s="5" t="s">
        <v>230</v>
      </c>
    </row>
    <row r="4" spans="1:10" x14ac:dyDescent="0.25">
      <c r="B4" s="4" t="s">
        <v>18</v>
      </c>
      <c r="C4" s="7">
        <v>7.0000000000000007E-2</v>
      </c>
      <c r="E4" s="5" t="s">
        <v>234</v>
      </c>
    </row>
    <row r="5" spans="1:10" x14ac:dyDescent="0.25">
      <c r="B5" s="4" t="s">
        <v>19</v>
      </c>
      <c r="C5" s="6">
        <v>769.4</v>
      </c>
      <c r="E5" s="5" t="s">
        <v>235</v>
      </c>
    </row>
    <row r="6" spans="1:10" x14ac:dyDescent="0.25">
      <c r="A6" s="163" t="s">
        <v>222</v>
      </c>
      <c r="B6" s="4" t="s">
        <v>7</v>
      </c>
      <c r="C6" s="8">
        <f>C4*C3</f>
        <v>70</v>
      </c>
      <c r="E6" s="3" t="s">
        <v>172</v>
      </c>
      <c r="F6" s="3" t="s">
        <v>236</v>
      </c>
    </row>
    <row r="7" spans="1:10" x14ac:dyDescent="0.25">
      <c r="A7" s="163" t="s">
        <v>176</v>
      </c>
      <c r="B7" s="4" t="s">
        <v>20</v>
      </c>
      <c r="C7" s="9">
        <f>C6/C5</f>
        <v>9.0979984403431247E-2</v>
      </c>
      <c r="E7" s="3" t="s">
        <v>176</v>
      </c>
      <c r="F7" s="3" t="s">
        <v>237</v>
      </c>
    </row>
    <row r="8" spans="1:10" x14ac:dyDescent="0.25">
      <c r="A8" s="163"/>
      <c r="B8" s="4"/>
      <c r="C8" s="9"/>
      <c r="E8" s="3" t="s">
        <v>231</v>
      </c>
      <c r="F8" s="3" t="s">
        <v>238</v>
      </c>
    </row>
    <row r="9" spans="1:10" ht="14.4" thickBot="1" x14ac:dyDescent="0.3">
      <c r="B9" s="4"/>
      <c r="C9" s="10" t="s">
        <v>117</v>
      </c>
    </row>
    <row r="10" spans="1:10" ht="28.95" customHeight="1" x14ac:dyDescent="0.25">
      <c r="D10" s="218" t="s">
        <v>21</v>
      </c>
      <c r="E10" s="219"/>
      <c r="F10" s="219"/>
      <c r="G10" s="219"/>
      <c r="H10" s="219"/>
      <c r="I10" s="220"/>
      <c r="J10" s="11" t="s">
        <v>22</v>
      </c>
    </row>
    <row r="11" spans="1:10" x14ac:dyDescent="0.25">
      <c r="B11" s="12" t="s">
        <v>23</v>
      </c>
      <c r="C11" s="13" t="s">
        <v>24</v>
      </c>
      <c r="D11" s="14">
        <v>7.0000000000000007E-2</v>
      </c>
      <c r="E11" s="15">
        <f>D11+0.01</f>
        <v>0.08</v>
      </c>
      <c r="F11" s="15">
        <f>E11+0.01</f>
        <v>0.09</v>
      </c>
      <c r="G11" s="15">
        <f>F11+0.01</f>
        <v>9.9999999999999992E-2</v>
      </c>
      <c r="H11" s="15">
        <f>G11+0.01</f>
        <v>0.10999999999999999</v>
      </c>
      <c r="I11" s="16">
        <f>H11+0.01</f>
        <v>0.11999999999999998</v>
      </c>
      <c r="J11" s="17">
        <v>7.4999999999999997E-2</v>
      </c>
    </row>
    <row r="12" spans="1:10" x14ac:dyDescent="0.25">
      <c r="B12" s="18">
        <v>1</v>
      </c>
      <c r="C12" s="19">
        <f>$C$6/2</f>
        <v>35</v>
      </c>
      <c r="D12" s="20">
        <f t="shared" ref="D12:J27" si="0">$C12*(1/(1+D$11/2)^$B12)</f>
        <v>33.816425120772948</v>
      </c>
      <c r="E12" s="21">
        <f t="shared" si="0"/>
        <v>33.653846153846153</v>
      </c>
      <c r="F12" s="21">
        <f t="shared" si="0"/>
        <v>33.492822966507184</v>
      </c>
      <c r="G12" s="21">
        <f t="shared" si="0"/>
        <v>33.333333333333329</v>
      </c>
      <c r="H12" s="21">
        <f t="shared" si="0"/>
        <v>33.175355450236964</v>
      </c>
      <c r="I12" s="22">
        <f t="shared" si="0"/>
        <v>33.018867924528301</v>
      </c>
      <c r="J12" s="22">
        <f t="shared" si="0"/>
        <v>33.734939759036138</v>
      </c>
    </row>
    <row r="13" spans="1:10" x14ac:dyDescent="0.25">
      <c r="B13" s="18">
        <f>1+B12</f>
        <v>2</v>
      </c>
      <c r="C13" s="19">
        <f t="shared" ref="C13:C41" si="1">$C$6/2</f>
        <v>35</v>
      </c>
      <c r="D13" s="20">
        <f t="shared" si="0"/>
        <v>32.672874512824109</v>
      </c>
      <c r="E13" s="21">
        <f t="shared" si="0"/>
        <v>32.359467455621299</v>
      </c>
      <c r="F13" s="21">
        <f t="shared" si="0"/>
        <v>32.05054829330831</v>
      </c>
      <c r="G13" s="21">
        <f t="shared" si="0"/>
        <v>31.746031746031743</v>
      </c>
      <c r="H13" s="21">
        <f t="shared" si="0"/>
        <v>31.445834549987651</v>
      </c>
      <c r="I13" s="22">
        <f t="shared" si="0"/>
        <v>31.149875400498395</v>
      </c>
      <c r="J13" s="22">
        <f t="shared" si="0"/>
        <v>32.515604587022779</v>
      </c>
    </row>
    <row r="14" spans="1:10" x14ac:dyDescent="0.25">
      <c r="B14" s="18">
        <f t="shared" ref="B14:B41" si="2">1+B13</f>
        <v>3</v>
      </c>
      <c r="C14" s="19">
        <f t="shared" si="1"/>
        <v>35</v>
      </c>
      <c r="D14" s="20">
        <f t="shared" si="0"/>
        <v>31.567994698380783</v>
      </c>
      <c r="E14" s="21">
        <f t="shared" si="0"/>
        <v>31.114872553482019</v>
      </c>
      <c r="F14" s="21">
        <f t="shared" si="0"/>
        <v>30.670381141921826</v>
      </c>
      <c r="G14" s="21">
        <f t="shared" si="0"/>
        <v>30.234315948601662</v>
      </c>
      <c r="H14" s="21">
        <f t="shared" si="0"/>
        <v>29.806478246433795</v>
      </c>
      <c r="I14" s="22">
        <f t="shared" si="0"/>
        <v>29.386674906130555</v>
      </c>
      <c r="J14" s="22">
        <f t="shared" si="0"/>
        <v>31.34034177062437</v>
      </c>
    </row>
    <row r="15" spans="1:10" x14ac:dyDescent="0.25">
      <c r="B15" s="18">
        <f t="shared" si="2"/>
        <v>4</v>
      </c>
      <c r="C15" s="19">
        <f t="shared" si="1"/>
        <v>35</v>
      </c>
      <c r="D15" s="20">
        <f t="shared" si="0"/>
        <v>30.500477969450035</v>
      </c>
      <c r="E15" s="21">
        <f t="shared" si="0"/>
        <v>29.918146686040402</v>
      </c>
      <c r="F15" s="21">
        <f t="shared" si="0"/>
        <v>29.349647025762522</v>
      </c>
      <c r="G15" s="21">
        <f t="shared" si="0"/>
        <v>28.794586617715868</v>
      </c>
      <c r="H15" s="21">
        <f t="shared" si="0"/>
        <v>28.252586015577055</v>
      </c>
      <c r="I15" s="22">
        <f t="shared" si="0"/>
        <v>27.723278213330715</v>
      </c>
      <c r="J15" s="22">
        <f t="shared" si="0"/>
        <v>30.207558333131914</v>
      </c>
    </row>
    <row r="16" spans="1:10" x14ac:dyDescent="0.25">
      <c r="B16" s="18">
        <f t="shared" si="2"/>
        <v>5</v>
      </c>
      <c r="C16" s="19">
        <f t="shared" si="1"/>
        <v>35</v>
      </c>
      <c r="D16" s="20">
        <f t="shared" si="0"/>
        <v>29.469060840048346</v>
      </c>
      <c r="E16" s="21">
        <f t="shared" si="0"/>
        <v>28.767448736577304</v>
      </c>
      <c r="F16" s="21">
        <f t="shared" si="0"/>
        <v>28.085786627523945</v>
      </c>
      <c r="G16" s="21">
        <f t="shared" si="0"/>
        <v>27.423415826396063</v>
      </c>
      <c r="H16" s="21">
        <f t="shared" si="0"/>
        <v>26.779702384433229</v>
      </c>
      <c r="I16" s="22">
        <f t="shared" si="0"/>
        <v>26.154036050311991</v>
      </c>
      <c r="J16" s="22">
        <f t="shared" si="0"/>
        <v>29.115718875307863</v>
      </c>
    </row>
    <row r="17" spans="2:10" x14ac:dyDescent="0.25">
      <c r="B17" s="18">
        <f t="shared" si="2"/>
        <v>6</v>
      </c>
      <c r="C17" s="19">
        <f t="shared" si="1"/>
        <v>35</v>
      </c>
      <c r="D17" s="20">
        <f t="shared" si="0"/>
        <v>28.472522550771348</v>
      </c>
      <c r="E17" s="21">
        <f t="shared" si="0"/>
        <v>27.661008400555101</v>
      </c>
      <c r="F17" s="21">
        <f t="shared" si="0"/>
        <v>26.876350839735839</v>
      </c>
      <c r="G17" s="21">
        <f t="shared" si="0"/>
        <v>26.117538882281966</v>
      </c>
      <c r="H17" s="21">
        <f t="shared" si="0"/>
        <v>25.38360415586088</v>
      </c>
      <c r="I17" s="22">
        <f t="shared" si="0"/>
        <v>24.673618915388669</v>
      </c>
      <c r="J17" s="22">
        <f t="shared" si="0"/>
        <v>28.06334349427264</v>
      </c>
    </row>
    <row r="18" spans="2:10" x14ac:dyDescent="0.25">
      <c r="B18" s="18">
        <f t="shared" si="2"/>
        <v>7</v>
      </c>
      <c r="C18" s="19">
        <f t="shared" si="1"/>
        <v>35</v>
      </c>
      <c r="D18" s="20">
        <f t="shared" si="0"/>
        <v>27.509683623933668</v>
      </c>
      <c r="E18" s="21">
        <f t="shared" si="0"/>
        <v>26.597123462072215</v>
      </c>
      <c r="F18" s="21">
        <f t="shared" si="0"/>
        <v>25.718996018885967</v>
      </c>
      <c r="G18" s="21">
        <f t="shared" si="0"/>
        <v>24.873846554554252</v>
      </c>
      <c r="H18" s="21">
        <f t="shared" si="0"/>
        <v>24.060288299394202</v>
      </c>
      <c r="I18" s="22">
        <f t="shared" si="0"/>
        <v>23.276998976781758</v>
      </c>
      <c r="J18" s="22">
        <f t="shared" si="0"/>
        <v>27.04900577761218</v>
      </c>
    </row>
    <row r="19" spans="2:10" x14ac:dyDescent="0.25">
      <c r="B19" s="18">
        <f t="shared" si="2"/>
        <v>8</v>
      </c>
      <c r="C19" s="19">
        <f t="shared" si="1"/>
        <v>35</v>
      </c>
      <c r="D19" s="20">
        <f t="shared" si="0"/>
        <v>26.579404467568768</v>
      </c>
      <c r="E19" s="21">
        <f t="shared" si="0"/>
        <v>25.574157175069434</v>
      </c>
      <c r="F19" s="21">
        <f t="shared" si="0"/>
        <v>24.611479443910024</v>
      </c>
      <c r="G19" s="21">
        <f t="shared" si="0"/>
        <v>23.689377671004053</v>
      </c>
      <c r="H19" s="21">
        <f t="shared" si="0"/>
        <v>22.805960473359434</v>
      </c>
      <c r="I19" s="22">
        <f t="shared" si="0"/>
        <v>21.959432996963926</v>
      </c>
      <c r="J19" s="22">
        <f t="shared" si="0"/>
        <v>26.071330869987637</v>
      </c>
    </row>
    <row r="20" spans="2:10" x14ac:dyDescent="0.25">
      <c r="B20" s="18">
        <f t="shared" si="2"/>
        <v>9</v>
      </c>
      <c r="C20" s="19">
        <f t="shared" si="1"/>
        <v>35</v>
      </c>
      <c r="D20" s="20">
        <f t="shared" si="0"/>
        <v>25.680584026636495</v>
      </c>
      <c r="E20" s="21">
        <f t="shared" si="0"/>
        <v>24.590535745259064</v>
      </c>
      <c r="F20" s="21">
        <f t="shared" si="0"/>
        <v>23.55165497024883</v>
      </c>
      <c r="G20" s="21">
        <f t="shared" si="0"/>
        <v>22.561312067622904</v>
      </c>
      <c r="H20" s="21">
        <f t="shared" si="0"/>
        <v>21.617024145364393</v>
      </c>
      <c r="I20" s="22">
        <f t="shared" si="0"/>
        <v>20.716446223550875</v>
      </c>
      <c r="J20" s="22">
        <f t="shared" si="0"/>
        <v>25.128993609626637</v>
      </c>
    </row>
    <row r="21" spans="2:10" x14ac:dyDescent="0.25">
      <c r="B21" s="18">
        <f t="shared" si="2"/>
        <v>10</v>
      </c>
      <c r="C21" s="19">
        <f t="shared" si="1"/>
        <v>35</v>
      </c>
      <c r="D21" s="20">
        <f t="shared" si="0"/>
        <v>24.812158479842026</v>
      </c>
      <c r="E21" s="21">
        <f t="shared" si="0"/>
        <v>23.644745908902948</v>
      </c>
      <c r="F21" s="21">
        <f t="shared" si="0"/>
        <v>22.537468871051512</v>
      </c>
      <c r="G21" s="21">
        <f t="shared" si="0"/>
        <v>21.486963873926577</v>
      </c>
      <c r="H21" s="21">
        <f t="shared" si="0"/>
        <v>20.49007027996625</v>
      </c>
      <c r="I21" s="22">
        <f t="shared" si="0"/>
        <v>19.543817192029124</v>
      </c>
      <c r="J21" s="22">
        <f t="shared" si="0"/>
        <v>24.220716732170246</v>
      </c>
    </row>
    <row r="22" spans="2:10" x14ac:dyDescent="0.25">
      <c r="B22" s="18">
        <f t="shared" si="2"/>
        <v>11</v>
      </c>
      <c r="C22" s="19">
        <f t="shared" si="1"/>
        <v>35</v>
      </c>
      <c r="D22" s="20">
        <f t="shared" si="0"/>
        <v>23.973099980523699</v>
      </c>
      <c r="E22" s="21">
        <f t="shared" si="0"/>
        <v>22.735332604714376</v>
      </c>
      <c r="F22" s="21">
        <f t="shared" si="0"/>
        <v>21.566955857465565</v>
      </c>
      <c r="G22" s="21">
        <f t="shared" si="0"/>
        <v>20.46377511802531</v>
      </c>
      <c r="H22" s="21">
        <f t="shared" si="0"/>
        <v>19.421867563949053</v>
      </c>
      <c r="I22" s="22">
        <f t="shared" si="0"/>
        <v>18.437563388706721</v>
      </c>
      <c r="J22" s="22">
        <f t="shared" si="0"/>
        <v>23.3452691394412</v>
      </c>
    </row>
    <row r="23" spans="2:10" x14ac:dyDescent="0.25">
      <c r="B23" s="18">
        <f t="shared" si="2"/>
        <v>12</v>
      </c>
      <c r="C23" s="19">
        <f t="shared" si="1"/>
        <v>35</v>
      </c>
      <c r="D23" s="20">
        <f t="shared" si="0"/>
        <v>23.162415440119513</v>
      </c>
      <c r="E23" s="21">
        <f t="shared" si="0"/>
        <v>21.86089673530228</v>
      </c>
      <c r="F23" s="21">
        <f t="shared" si="0"/>
        <v>20.63823527030198</v>
      </c>
      <c r="G23" s="21">
        <f t="shared" si="0"/>
        <v>19.489309636214582</v>
      </c>
      <c r="H23" s="21">
        <f t="shared" si="0"/>
        <v>18.409353141183939</v>
      </c>
      <c r="I23" s="22">
        <f t="shared" si="0"/>
        <v>17.393927725195017</v>
      </c>
      <c r="J23" s="22">
        <f t="shared" si="0"/>
        <v>22.501464230786695</v>
      </c>
    </row>
    <row r="24" spans="2:10" x14ac:dyDescent="0.25">
      <c r="B24" s="18">
        <f t="shared" si="2"/>
        <v>13</v>
      </c>
      <c r="C24" s="19">
        <f t="shared" si="1"/>
        <v>35</v>
      </c>
      <c r="D24" s="20">
        <f t="shared" si="0"/>
        <v>22.379145352772483</v>
      </c>
      <c r="E24" s="21">
        <f t="shared" si="0"/>
        <v>21.02009301471373</v>
      </c>
      <c r="F24" s="21">
        <f t="shared" si="0"/>
        <v>19.749507435695673</v>
      </c>
      <c r="G24" s="21">
        <f t="shared" si="0"/>
        <v>18.561247272585312</v>
      </c>
      <c r="H24" s="21">
        <f t="shared" si="0"/>
        <v>17.449623830506102</v>
      </c>
      <c r="I24" s="22">
        <f t="shared" si="0"/>
        <v>16.409365778485864</v>
      </c>
      <c r="J24" s="22">
        <f t="shared" si="0"/>
        <v>21.688158294734166</v>
      </c>
    </row>
    <row r="25" spans="2:10" x14ac:dyDescent="0.25">
      <c r="B25" s="18">
        <f t="shared" si="2"/>
        <v>14</v>
      </c>
      <c r="C25" s="19">
        <f t="shared" si="1"/>
        <v>35</v>
      </c>
      <c r="D25" s="20">
        <f t="shared" si="0"/>
        <v>21.622362659683557</v>
      </c>
      <c r="E25" s="21">
        <f t="shared" si="0"/>
        <v>20.211627898763204</v>
      </c>
      <c r="F25" s="21">
        <f t="shared" si="0"/>
        <v>18.899050177699213</v>
      </c>
      <c r="G25" s="21">
        <f t="shared" si="0"/>
        <v>17.67737835484316</v>
      </c>
      <c r="H25" s="21">
        <f t="shared" si="0"/>
        <v>16.539927801427584</v>
      </c>
      <c r="I25" s="22">
        <f t="shared" si="0"/>
        <v>15.480533753288553</v>
      </c>
      <c r="J25" s="22">
        <f t="shared" si="0"/>
        <v>20.904248958779917</v>
      </c>
    </row>
    <row r="26" spans="2:10" x14ac:dyDescent="0.25">
      <c r="B26" s="18">
        <f t="shared" si="2"/>
        <v>15</v>
      </c>
      <c r="C26" s="19">
        <f t="shared" si="1"/>
        <v>35</v>
      </c>
      <c r="D26" s="20">
        <f t="shared" si="0"/>
        <v>20.891171651868174</v>
      </c>
      <c r="E26" s="21">
        <f t="shared" si="0"/>
        <v>19.434257594964617</v>
      </c>
      <c r="F26" s="21">
        <f t="shared" si="0"/>
        <v>18.085215481051879</v>
      </c>
      <c r="G26" s="21">
        <f t="shared" si="0"/>
        <v>16.835598433183957</v>
      </c>
      <c r="H26" s="21">
        <f t="shared" si="0"/>
        <v>15.677656683817618</v>
      </c>
      <c r="I26" s="22">
        <f t="shared" si="0"/>
        <v>14.604277125743913</v>
      </c>
      <c r="J26" s="22">
        <f t="shared" si="0"/>
        <v>20.148673695209556</v>
      </c>
    </row>
    <row r="27" spans="2:10" x14ac:dyDescent="0.25">
      <c r="B27" s="18">
        <f t="shared" si="2"/>
        <v>16</v>
      </c>
      <c r="C27" s="19">
        <f t="shared" si="1"/>
        <v>35</v>
      </c>
      <c r="D27" s="20">
        <f t="shared" si="0"/>
        <v>20.18470691001756</v>
      </c>
      <c r="E27" s="21">
        <f t="shared" si="0"/>
        <v>18.686786149004437</v>
      </c>
      <c r="F27" s="21">
        <f t="shared" si="0"/>
        <v>17.306426297657307</v>
      </c>
      <c r="G27" s="21">
        <f t="shared" si="0"/>
        <v>16.033903269699007</v>
      </c>
      <c r="H27" s="21">
        <f t="shared" si="0"/>
        <v>14.860338088926651</v>
      </c>
      <c r="I27" s="22">
        <f t="shared" si="0"/>
        <v>13.777619929947091</v>
      </c>
      <c r="J27" s="22">
        <f t="shared" si="0"/>
        <v>19.420408380924869</v>
      </c>
    </row>
    <row r="28" spans="2:10" x14ac:dyDescent="0.25">
      <c r="B28" s="18">
        <f t="shared" si="2"/>
        <v>17</v>
      </c>
      <c r="C28" s="19">
        <f t="shared" si="1"/>
        <v>35</v>
      </c>
      <c r="D28" s="20">
        <f t="shared" ref="D28:J41" si="3">$C28*(1/(1+D$11/2)^$B28)</f>
        <v>19.502132280210205</v>
      </c>
      <c r="E28" s="21">
        <f t="shared" si="3"/>
        <v>17.96806360481196</v>
      </c>
      <c r="F28" s="21">
        <f t="shared" si="3"/>
        <v>16.561173490581155</v>
      </c>
      <c r="G28" s="21">
        <f t="shared" si="3"/>
        <v>15.270384066380004</v>
      </c>
      <c r="H28" s="21">
        <f t="shared" si="3"/>
        <v>14.085628520309625</v>
      </c>
      <c r="I28" s="22">
        <f t="shared" si="3"/>
        <v>12.99775465089348</v>
      </c>
      <c r="J28" s="22">
        <f t="shared" si="3"/>
        <v>18.718465909325175</v>
      </c>
    </row>
    <row r="29" spans="2:10" x14ac:dyDescent="0.25">
      <c r="B29" s="18">
        <f t="shared" si="2"/>
        <v>18</v>
      </c>
      <c r="C29" s="19">
        <f t="shared" si="1"/>
        <v>35</v>
      </c>
      <c r="D29" s="20">
        <f t="shared" si="3"/>
        <v>18.842639884261068</v>
      </c>
      <c r="E29" s="21">
        <f t="shared" si="3"/>
        <v>17.27698423539611</v>
      </c>
      <c r="F29" s="21">
        <f t="shared" si="3"/>
        <v>15.848012909647041</v>
      </c>
      <c r="G29" s="21">
        <f t="shared" si="3"/>
        <v>14.543222920361909</v>
      </c>
      <c r="H29" s="21">
        <f t="shared" si="3"/>
        <v>13.351306654321917</v>
      </c>
      <c r="I29" s="22">
        <f t="shared" si="3"/>
        <v>12.262032689522151</v>
      </c>
      <c r="J29" s="22">
        <f t="shared" si="3"/>
        <v>18.041894852361612</v>
      </c>
    </row>
    <row r="30" spans="2:10" x14ac:dyDescent="0.25">
      <c r="B30" s="18">
        <f t="shared" si="2"/>
        <v>19</v>
      </c>
      <c r="C30" s="19">
        <f t="shared" si="1"/>
        <v>35</v>
      </c>
      <c r="D30" s="20">
        <f t="shared" si="3"/>
        <v>18.205449163537271</v>
      </c>
      <c r="E30" s="21">
        <f t="shared" si="3"/>
        <v>16.612484841727031</v>
      </c>
      <c r="F30" s="21">
        <f t="shared" si="3"/>
        <v>15.165562592963676</v>
      </c>
      <c r="G30" s="21">
        <f t="shared" si="3"/>
        <v>13.850688495582771</v>
      </c>
      <c r="H30" s="21">
        <f t="shared" si="3"/>
        <v>12.65526697092125</v>
      </c>
      <c r="I30" s="22">
        <f t="shared" si="3"/>
        <v>11.567955367473726</v>
      </c>
      <c r="J30" s="22">
        <f t="shared" si="3"/>
        <v>17.389778170950947</v>
      </c>
    </row>
    <row r="31" spans="2:10" x14ac:dyDescent="0.25">
      <c r="B31" s="18">
        <f t="shared" si="2"/>
        <v>20</v>
      </c>
      <c r="C31" s="19">
        <f t="shared" si="1"/>
        <v>35</v>
      </c>
      <c r="D31" s="20">
        <f t="shared" si="3"/>
        <v>17.589805955108471</v>
      </c>
      <c r="E31" s="21">
        <f t="shared" si="3"/>
        <v>15.973543117045223</v>
      </c>
      <c r="F31" s="21">
        <f t="shared" si="3"/>
        <v>14.512500088960458</v>
      </c>
      <c r="G31" s="21">
        <f t="shared" si="3"/>
        <v>13.191131900555021</v>
      </c>
      <c r="H31" s="21">
        <f t="shared" si="3"/>
        <v>11.995513716513033</v>
      </c>
      <c r="I31" s="22">
        <f t="shared" si="3"/>
        <v>10.91316544101295</v>
      </c>
      <c r="J31" s="22">
        <f t="shared" si="3"/>
        <v>16.76123197200091</v>
      </c>
    </row>
    <row r="32" spans="2:10" x14ac:dyDescent="0.25">
      <c r="B32" s="18">
        <f t="shared" si="2"/>
        <v>21</v>
      </c>
      <c r="C32" s="19">
        <f t="shared" si="1"/>
        <v>35</v>
      </c>
      <c r="D32" s="20">
        <f t="shared" si="3"/>
        <v>16.994981599138626</v>
      </c>
      <c r="E32" s="21">
        <f t="shared" si="3"/>
        <v>15.35917607408194</v>
      </c>
      <c r="F32" s="21">
        <f t="shared" si="3"/>
        <v>13.887559893742065</v>
      </c>
      <c r="G32" s="21">
        <f t="shared" si="3"/>
        <v>12.562982762433354</v>
      </c>
      <c r="H32" s="21">
        <f t="shared" si="3"/>
        <v>11.370155181528942</v>
      </c>
      <c r="I32" s="22">
        <f t="shared" si="3"/>
        <v>10.295439095295233</v>
      </c>
      <c r="J32" s="22">
        <f t="shared" si="3"/>
        <v>16.155404310362321</v>
      </c>
    </row>
    <row r="33" spans="2:10" x14ac:dyDescent="0.25">
      <c r="B33" s="18">
        <f t="shared" si="2"/>
        <v>22</v>
      </c>
      <c r="C33" s="19">
        <f t="shared" si="1"/>
        <v>35</v>
      </c>
      <c r="D33" s="20">
        <f t="shared" si="3"/>
        <v>16.420272076462439</v>
      </c>
      <c r="E33" s="21">
        <f t="shared" si="3"/>
        <v>14.768438532771098</v>
      </c>
      <c r="F33" s="21">
        <f t="shared" si="3"/>
        <v>13.289530998796238</v>
      </c>
      <c r="G33" s="21">
        <f t="shared" si="3"/>
        <v>11.964745488031767</v>
      </c>
      <c r="H33" s="21">
        <f t="shared" si="3"/>
        <v>10.777398276330752</v>
      </c>
      <c r="I33" s="22">
        <f t="shared" si="3"/>
        <v>9.7126783917879553</v>
      </c>
      <c r="J33" s="22">
        <f t="shared" si="3"/>
        <v>15.571474034084165</v>
      </c>
    </row>
    <row r="34" spans="2:10" x14ac:dyDescent="0.25">
      <c r="B34" s="18">
        <f t="shared" si="2"/>
        <v>23</v>
      </c>
      <c r="C34" s="19">
        <f t="shared" si="1"/>
        <v>35</v>
      </c>
      <c r="D34" s="20">
        <f t="shared" si="3"/>
        <v>15.864997175326028</v>
      </c>
      <c r="E34" s="21">
        <f t="shared" si="3"/>
        <v>14.200421666126056</v>
      </c>
      <c r="F34" s="21">
        <f t="shared" si="3"/>
        <v>12.717254544302619</v>
      </c>
      <c r="G34" s="21">
        <f t="shared" si="3"/>
        <v>11.394995702887394</v>
      </c>
      <c r="H34" s="21">
        <f t="shared" si="3"/>
        <v>10.215543389886969</v>
      </c>
      <c r="I34" s="22">
        <f t="shared" si="3"/>
        <v>9.1629041431961831</v>
      </c>
      <c r="J34" s="22">
        <f t="shared" si="3"/>
        <v>15.008649671406424</v>
      </c>
    </row>
    <row r="35" spans="2:10" x14ac:dyDescent="0.25">
      <c r="B35" s="18">
        <f t="shared" si="2"/>
        <v>24</v>
      </c>
      <c r="C35" s="19">
        <f t="shared" si="1"/>
        <v>35</v>
      </c>
      <c r="D35" s="20">
        <f t="shared" si="3"/>
        <v>15.328499686305344</v>
      </c>
      <c r="E35" s="21">
        <f t="shared" si="3"/>
        <v>13.654251602044285</v>
      </c>
      <c r="F35" s="21">
        <f t="shared" si="3"/>
        <v>12.169621573495332</v>
      </c>
      <c r="G35" s="21">
        <f t="shared" si="3"/>
        <v>10.852376859892757</v>
      </c>
      <c r="H35" s="21">
        <f t="shared" si="3"/>
        <v>9.6829795164805397</v>
      </c>
      <c r="I35" s="22">
        <f t="shared" si="3"/>
        <v>8.644249191694513</v>
      </c>
      <c r="J35" s="22">
        <f t="shared" si="3"/>
        <v>14.466168357982093</v>
      </c>
    </row>
    <row r="36" spans="2:10" x14ac:dyDescent="0.25">
      <c r="B36" s="18">
        <f t="shared" si="2"/>
        <v>25</v>
      </c>
      <c r="C36" s="19">
        <f t="shared" si="1"/>
        <v>35</v>
      </c>
      <c r="D36" s="20">
        <f t="shared" si="3"/>
        <v>14.81014462444961</v>
      </c>
      <c r="E36" s="21">
        <f t="shared" si="3"/>
        <v>13.129088078888731</v>
      </c>
      <c r="F36" s="21">
        <f t="shared" si="3"/>
        <v>11.645570883727592</v>
      </c>
      <c r="G36" s="21">
        <f t="shared" si="3"/>
        <v>10.335597009421672</v>
      </c>
      <c r="H36" s="21">
        <f t="shared" si="3"/>
        <v>9.1781796364744448</v>
      </c>
      <c r="I36" s="22">
        <f t="shared" si="3"/>
        <v>8.1549520676363336</v>
      </c>
      <c r="J36" s="22">
        <f t="shared" si="3"/>
        <v>13.943294802874302</v>
      </c>
    </row>
    <row r="37" spans="2:10" x14ac:dyDescent="0.25">
      <c r="B37" s="18">
        <f t="shared" si="2"/>
        <v>26</v>
      </c>
      <c r="C37" s="19">
        <f t="shared" si="1"/>
        <v>35</v>
      </c>
      <c r="D37" s="20">
        <f t="shared" si="3"/>
        <v>14.309318477729091</v>
      </c>
      <c r="E37" s="21">
        <f t="shared" si="3"/>
        <v>12.624123152777628</v>
      </c>
      <c r="F37" s="21">
        <f t="shared" si="3"/>
        <v>11.144086970074254</v>
      </c>
      <c r="G37" s="21">
        <f t="shared" si="3"/>
        <v>9.8434257232587363</v>
      </c>
      <c r="H37" s="21">
        <f t="shared" si="3"/>
        <v>8.6996963378904688</v>
      </c>
      <c r="I37" s="22">
        <f t="shared" si="3"/>
        <v>7.6933510072040878</v>
      </c>
      <c r="J37" s="22">
        <f t="shared" si="3"/>
        <v>13.439320291927038</v>
      </c>
    </row>
    <row r="38" spans="2:10" x14ac:dyDescent="0.25">
      <c r="B38" s="18">
        <f t="shared" si="2"/>
        <v>27</v>
      </c>
      <c r="C38" s="19">
        <f t="shared" si="1"/>
        <v>35</v>
      </c>
      <c r="D38" s="20">
        <f t="shared" si="3"/>
        <v>13.825428480897672</v>
      </c>
      <c r="E38" s="21">
        <f t="shared" si="3"/>
        <v>12.138579954593872</v>
      </c>
      <c r="F38" s="21">
        <f t="shared" si="3"/>
        <v>10.664198057487324</v>
      </c>
      <c r="G38" s="21">
        <f t="shared" si="3"/>
        <v>9.3746911650083202</v>
      </c>
      <c r="H38" s="21">
        <f t="shared" si="3"/>
        <v>8.2461576662468907</v>
      </c>
      <c r="I38" s="22">
        <f t="shared" si="3"/>
        <v>7.2578783086831011</v>
      </c>
      <c r="J38" s="22">
        <f t="shared" si="3"/>
        <v>12.953561727158592</v>
      </c>
    </row>
    <row r="39" spans="2:10" x14ac:dyDescent="0.25">
      <c r="B39" s="18">
        <f t="shared" si="2"/>
        <v>28</v>
      </c>
      <c r="C39" s="19">
        <f t="shared" si="1"/>
        <v>35</v>
      </c>
      <c r="D39" s="20">
        <f t="shared" si="3"/>
        <v>13.357901913910794</v>
      </c>
      <c r="E39" s="21">
        <f t="shared" si="3"/>
        <v>11.6717114948018</v>
      </c>
      <c r="F39" s="21">
        <f t="shared" si="3"/>
        <v>10.204974217691221</v>
      </c>
      <c r="G39" s="21">
        <f t="shared" si="3"/>
        <v>8.9282773000079256</v>
      </c>
      <c r="H39" s="21">
        <f t="shared" si="3"/>
        <v>7.8162631907553468</v>
      </c>
      <c r="I39" s="22">
        <f t="shared" si="3"/>
        <v>6.8470550081916048</v>
      </c>
      <c r="J39" s="22">
        <f t="shared" si="3"/>
        <v>12.485360700875745</v>
      </c>
    </row>
    <row r="40" spans="2:10" x14ac:dyDescent="0.25">
      <c r="B40" s="18">
        <f t="shared" si="2"/>
        <v>29</v>
      </c>
      <c r="C40" s="19">
        <f t="shared" si="1"/>
        <v>35</v>
      </c>
      <c r="D40" s="20">
        <f t="shared" si="3"/>
        <v>12.906185424068404</v>
      </c>
      <c r="E40" s="21">
        <f t="shared" si="3"/>
        <v>11.222799514232499</v>
      </c>
      <c r="F40" s="21">
        <f t="shared" si="3"/>
        <v>9.7655255671686323</v>
      </c>
      <c r="G40" s="21">
        <f t="shared" si="3"/>
        <v>8.5031212381027839</v>
      </c>
      <c r="H40" s="21">
        <f t="shared" si="3"/>
        <v>7.4087802755974863</v>
      </c>
      <c r="I40" s="22">
        <f t="shared" si="3"/>
        <v>6.4594858567845321</v>
      </c>
      <c r="J40" s="22">
        <f t="shared" si="3"/>
        <v>12.034082603253733</v>
      </c>
    </row>
    <row r="41" spans="2:10" x14ac:dyDescent="0.25">
      <c r="B41" s="18">
        <f t="shared" si="2"/>
        <v>30</v>
      </c>
      <c r="C41" s="19">
        <f t="shared" si="1"/>
        <v>35</v>
      </c>
      <c r="D41" s="23">
        <f t="shared" si="3"/>
        <v>12.469744371080584</v>
      </c>
      <c r="E41" s="24">
        <f t="shared" si="3"/>
        <v>10.791153379069712</v>
      </c>
      <c r="F41" s="24">
        <f t="shared" si="3"/>
        <v>9.3450005427451064</v>
      </c>
      <c r="G41" s="24">
        <f t="shared" si="3"/>
        <v>8.0982107029550345</v>
      </c>
      <c r="H41" s="24">
        <f t="shared" si="3"/>
        <v>7.0225405455900347</v>
      </c>
      <c r="I41" s="25">
        <f t="shared" si="3"/>
        <v>6.0938545818721996</v>
      </c>
      <c r="J41" s="25">
        <f t="shared" si="3"/>
        <v>11.59911576217227</v>
      </c>
    </row>
    <row r="42" spans="2:10" x14ac:dyDescent="0.25">
      <c r="C42" s="4" t="s">
        <v>25</v>
      </c>
      <c r="D42" s="20">
        <f t="shared" ref="D42:J42" si="4">SUM(D12:D41)</f>
        <v>643.72158939769929</v>
      </c>
      <c r="E42" s="21">
        <f t="shared" si="4"/>
        <v>605.22116552325645</v>
      </c>
      <c r="F42" s="21">
        <f t="shared" si="4"/>
        <v>570.11109905011017</v>
      </c>
      <c r="G42" s="21">
        <f t="shared" si="4"/>
        <v>538.03578594089936</v>
      </c>
      <c r="H42" s="21">
        <f t="shared" si="4"/>
        <v>508.68108098927269</v>
      </c>
      <c r="I42" s="22">
        <f t="shared" si="4"/>
        <v>481.76909030212948</v>
      </c>
      <c r="J42" s="22">
        <f t="shared" si="4"/>
        <v>624.02357967540399</v>
      </c>
    </row>
    <row r="43" spans="2:10" x14ac:dyDescent="0.25">
      <c r="C43" s="4" t="s">
        <v>26</v>
      </c>
      <c r="D43" s="20"/>
      <c r="E43" s="21"/>
      <c r="F43" s="21"/>
      <c r="G43" s="21"/>
      <c r="H43" s="21"/>
      <c r="I43" s="22"/>
      <c r="J43" s="22"/>
    </row>
    <row r="44" spans="2:10" x14ac:dyDescent="0.25">
      <c r="B44" s="18">
        <f>1+B40</f>
        <v>30</v>
      </c>
      <c r="C44" s="19">
        <f>$C$3</f>
        <v>1000</v>
      </c>
      <c r="D44" s="23">
        <f t="shared" ref="D44:J44" si="5">$C44*(1/(1+D$11/2)^$B44)</f>
        <v>356.27841060230236</v>
      </c>
      <c r="E44" s="24">
        <f t="shared" si="5"/>
        <v>308.31866797342036</v>
      </c>
      <c r="F44" s="24">
        <f t="shared" si="5"/>
        <v>267.00001550700301</v>
      </c>
      <c r="G44" s="24">
        <f t="shared" si="5"/>
        <v>231.37744865585813</v>
      </c>
      <c r="H44" s="24">
        <f t="shared" si="5"/>
        <v>200.64401558828672</v>
      </c>
      <c r="I44" s="25">
        <f t="shared" si="5"/>
        <v>174.11013091063427</v>
      </c>
      <c r="J44" s="25">
        <f t="shared" si="5"/>
        <v>331.40330749063628</v>
      </c>
    </row>
    <row r="45" spans="2:10" x14ac:dyDescent="0.25">
      <c r="C45" s="4" t="s">
        <v>27</v>
      </c>
      <c r="D45" s="26">
        <f t="shared" ref="D45:J45" si="6">D42+D44</f>
        <v>1000.0000000000016</v>
      </c>
      <c r="E45" s="27">
        <f t="shared" si="6"/>
        <v>913.53983349667681</v>
      </c>
      <c r="F45" s="27">
        <f t="shared" si="6"/>
        <v>837.11111455711318</v>
      </c>
      <c r="G45" s="28">
        <f t="shared" si="6"/>
        <v>769.41323459675755</v>
      </c>
      <c r="H45" s="27">
        <f t="shared" si="6"/>
        <v>709.32509657755941</v>
      </c>
      <c r="I45" s="29">
        <f t="shared" si="6"/>
        <v>655.8792212127637</v>
      </c>
      <c r="J45" s="29">
        <f t="shared" si="6"/>
        <v>955.42688716604027</v>
      </c>
    </row>
    <row r="46" spans="2:10" ht="14.4" thickBot="1" x14ac:dyDescent="0.3">
      <c r="C46" s="4" t="s">
        <v>28</v>
      </c>
      <c r="D46" s="30">
        <f>$C$5-D45</f>
        <v>-230.60000000000161</v>
      </c>
      <c r="E46" s="31">
        <f t="shared" ref="E46:J46" si="7">$C$5-E45</f>
        <v>-144.13983349667683</v>
      </c>
      <c r="F46" s="31">
        <f t="shared" si="7"/>
        <v>-67.711114557113206</v>
      </c>
      <c r="G46" s="31">
        <f t="shared" si="7"/>
        <v>-1.3234596757570216E-2</v>
      </c>
      <c r="H46" s="31">
        <f t="shared" si="7"/>
        <v>60.07490342244057</v>
      </c>
      <c r="I46" s="32">
        <f t="shared" si="7"/>
        <v>113.52077878723628</v>
      </c>
      <c r="J46" s="33">
        <f t="shared" si="7"/>
        <v>-186.0268871660403</v>
      </c>
    </row>
    <row r="47" spans="2:10" x14ac:dyDescent="0.25">
      <c r="D47" s="9"/>
    </row>
    <row r="48" spans="2:10" x14ac:dyDescent="0.25">
      <c r="B48" s="4" t="s">
        <v>29</v>
      </c>
      <c r="C48" s="34">
        <f>RATE(C2*2,C6/2,-C5,C3)*2</f>
        <v>0.10000207702631</v>
      </c>
    </row>
    <row r="49" spans="1:3" x14ac:dyDescent="0.25">
      <c r="A49" s="35"/>
      <c r="B49" s="36"/>
      <c r="C49" s="37"/>
    </row>
  </sheetData>
  <mergeCells count="1">
    <mergeCell ref="D10:I10"/>
  </mergeCell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F8CB1-648E-4554-97C1-2B88ED4C69A0}">
  <dimension ref="A1:O37"/>
  <sheetViews>
    <sheetView topLeftCell="B1" zoomScale="47" workbookViewId="0">
      <selection activeCell="J36" sqref="J36"/>
    </sheetView>
  </sheetViews>
  <sheetFormatPr defaultRowHeight="15.6" x14ac:dyDescent="0.3"/>
  <cols>
    <col min="1" max="2" width="17.88671875" style="1" customWidth="1"/>
    <col min="3" max="3" width="30.109375" style="1" bestFit="1" customWidth="1"/>
    <col min="4" max="4" width="13.6640625" style="1" customWidth="1"/>
    <col min="5" max="5" width="16.6640625" style="1" customWidth="1"/>
    <col min="6" max="6" width="4.6640625" style="1" customWidth="1"/>
    <col min="7" max="7" width="30.6640625" style="1" customWidth="1"/>
    <col min="8" max="8" width="13.6640625" style="1" customWidth="1"/>
    <col min="9" max="9" width="16.6640625" style="1" customWidth="1"/>
    <col min="10" max="12" width="8.88671875" style="1"/>
    <col min="13" max="13" width="15.109375" style="1" bestFit="1" customWidth="1"/>
    <col min="14" max="253" width="8.88671875" style="1"/>
    <col min="254" max="254" width="4.6640625" style="1" customWidth="1"/>
    <col min="255" max="255" width="20.6640625" style="1" customWidth="1"/>
    <col min="256" max="256" width="10.77734375" style="1" bestFit="1" customWidth="1"/>
    <col min="257" max="257" width="14.6640625" style="1" customWidth="1"/>
    <col min="258" max="258" width="4.6640625" style="1" customWidth="1"/>
    <col min="259" max="259" width="20.6640625" style="1" customWidth="1"/>
    <col min="260" max="260" width="10.77734375" style="1" customWidth="1"/>
    <col min="261" max="261" width="14.6640625" style="1" customWidth="1"/>
    <col min="262" max="509" width="8.88671875" style="1"/>
    <col min="510" max="510" width="4.6640625" style="1" customWidth="1"/>
    <col min="511" max="511" width="20.6640625" style="1" customWidth="1"/>
    <col min="512" max="512" width="10.77734375" style="1" bestFit="1" customWidth="1"/>
    <col min="513" max="513" width="14.6640625" style="1" customWidth="1"/>
    <col min="514" max="514" width="4.6640625" style="1" customWidth="1"/>
    <col min="515" max="515" width="20.6640625" style="1" customWidth="1"/>
    <col min="516" max="516" width="10.77734375" style="1" customWidth="1"/>
    <col min="517" max="517" width="14.6640625" style="1" customWidth="1"/>
    <col min="518" max="765" width="8.88671875" style="1"/>
    <col min="766" max="766" width="4.6640625" style="1" customWidth="1"/>
    <col min="767" max="767" width="20.6640625" style="1" customWidth="1"/>
    <col min="768" max="768" width="10.77734375" style="1" bestFit="1" customWidth="1"/>
    <col min="769" max="769" width="14.6640625" style="1" customWidth="1"/>
    <col min="770" max="770" width="4.6640625" style="1" customWidth="1"/>
    <col min="771" max="771" width="20.6640625" style="1" customWidth="1"/>
    <col min="772" max="772" width="10.77734375" style="1" customWidth="1"/>
    <col min="773" max="773" width="14.6640625" style="1" customWidth="1"/>
    <col min="774" max="1021" width="8.88671875" style="1"/>
    <col min="1022" max="1022" width="4.6640625" style="1" customWidth="1"/>
    <col min="1023" max="1023" width="20.6640625" style="1" customWidth="1"/>
    <col min="1024" max="1024" width="10.77734375" style="1" bestFit="1" customWidth="1"/>
    <col min="1025" max="1025" width="14.6640625" style="1" customWidth="1"/>
    <col min="1026" max="1026" width="4.6640625" style="1" customWidth="1"/>
    <col min="1027" max="1027" width="20.6640625" style="1" customWidth="1"/>
    <col min="1028" max="1028" width="10.77734375" style="1" customWidth="1"/>
    <col min="1029" max="1029" width="14.6640625" style="1" customWidth="1"/>
    <col min="1030" max="1277" width="8.88671875" style="1"/>
    <col min="1278" max="1278" width="4.6640625" style="1" customWidth="1"/>
    <col min="1279" max="1279" width="20.6640625" style="1" customWidth="1"/>
    <col min="1280" max="1280" width="10.77734375" style="1" bestFit="1" customWidth="1"/>
    <col min="1281" max="1281" width="14.6640625" style="1" customWidth="1"/>
    <col min="1282" max="1282" width="4.6640625" style="1" customWidth="1"/>
    <col min="1283" max="1283" width="20.6640625" style="1" customWidth="1"/>
    <col min="1284" max="1284" width="10.77734375" style="1" customWidth="1"/>
    <col min="1285" max="1285" width="14.6640625" style="1" customWidth="1"/>
    <col min="1286" max="1533" width="8.88671875" style="1"/>
    <col min="1534" max="1534" width="4.6640625" style="1" customWidth="1"/>
    <col min="1535" max="1535" width="20.6640625" style="1" customWidth="1"/>
    <col min="1536" max="1536" width="10.77734375" style="1" bestFit="1" customWidth="1"/>
    <col min="1537" max="1537" width="14.6640625" style="1" customWidth="1"/>
    <col min="1538" max="1538" width="4.6640625" style="1" customWidth="1"/>
    <col min="1539" max="1539" width="20.6640625" style="1" customWidth="1"/>
    <col min="1540" max="1540" width="10.77734375" style="1" customWidth="1"/>
    <col min="1541" max="1541" width="14.6640625" style="1" customWidth="1"/>
    <col min="1542" max="1789" width="8.88671875" style="1"/>
    <col min="1790" max="1790" width="4.6640625" style="1" customWidth="1"/>
    <col min="1791" max="1791" width="20.6640625" style="1" customWidth="1"/>
    <col min="1792" max="1792" width="10.77734375" style="1" bestFit="1" customWidth="1"/>
    <col min="1793" max="1793" width="14.6640625" style="1" customWidth="1"/>
    <col min="1794" max="1794" width="4.6640625" style="1" customWidth="1"/>
    <col min="1795" max="1795" width="20.6640625" style="1" customWidth="1"/>
    <col min="1796" max="1796" width="10.77734375" style="1" customWidth="1"/>
    <col min="1797" max="1797" width="14.6640625" style="1" customWidth="1"/>
    <col min="1798" max="2045" width="8.88671875" style="1"/>
    <col min="2046" max="2046" width="4.6640625" style="1" customWidth="1"/>
    <col min="2047" max="2047" width="20.6640625" style="1" customWidth="1"/>
    <col min="2048" max="2048" width="10.77734375" style="1" bestFit="1" customWidth="1"/>
    <col min="2049" max="2049" width="14.6640625" style="1" customWidth="1"/>
    <col min="2050" max="2050" width="4.6640625" style="1" customWidth="1"/>
    <col min="2051" max="2051" width="20.6640625" style="1" customWidth="1"/>
    <col min="2052" max="2052" width="10.77734375" style="1" customWidth="1"/>
    <col min="2053" max="2053" width="14.6640625" style="1" customWidth="1"/>
    <col min="2054" max="2301" width="8.88671875" style="1"/>
    <col min="2302" max="2302" width="4.6640625" style="1" customWidth="1"/>
    <col min="2303" max="2303" width="20.6640625" style="1" customWidth="1"/>
    <col min="2304" max="2304" width="10.77734375" style="1" bestFit="1" customWidth="1"/>
    <col min="2305" max="2305" width="14.6640625" style="1" customWidth="1"/>
    <col min="2306" max="2306" width="4.6640625" style="1" customWidth="1"/>
    <col min="2307" max="2307" width="20.6640625" style="1" customWidth="1"/>
    <col min="2308" max="2308" width="10.77734375" style="1" customWidth="1"/>
    <col min="2309" max="2309" width="14.6640625" style="1" customWidth="1"/>
    <col min="2310" max="2557" width="8.88671875" style="1"/>
    <col min="2558" max="2558" width="4.6640625" style="1" customWidth="1"/>
    <col min="2559" max="2559" width="20.6640625" style="1" customWidth="1"/>
    <col min="2560" max="2560" width="10.77734375" style="1" bestFit="1" customWidth="1"/>
    <col min="2561" max="2561" width="14.6640625" style="1" customWidth="1"/>
    <col min="2562" max="2562" width="4.6640625" style="1" customWidth="1"/>
    <col min="2563" max="2563" width="20.6640625" style="1" customWidth="1"/>
    <col min="2564" max="2564" width="10.77734375" style="1" customWidth="1"/>
    <col min="2565" max="2565" width="14.6640625" style="1" customWidth="1"/>
    <col min="2566" max="2813" width="8.88671875" style="1"/>
    <col min="2814" max="2814" width="4.6640625" style="1" customWidth="1"/>
    <col min="2815" max="2815" width="20.6640625" style="1" customWidth="1"/>
    <col min="2816" max="2816" width="10.77734375" style="1" bestFit="1" customWidth="1"/>
    <col min="2817" max="2817" width="14.6640625" style="1" customWidth="1"/>
    <col min="2818" max="2818" width="4.6640625" style="1" customWidth="1"/>
    <col min="2819" max="2819" width="20.6640625" style="1" customWidth="1"/>
    <col min="2820" max="2820" width="10.77734375" style="1" customWidth="1"/>
    <col min="2821" max="2821" width="14.6640625" style="1" customWidth="1"/>
    <col min="2822" max="3069" width="8.88671875" style="1"/>
    <col min="3070" max="3070" width="4.6640625" style="1" customWidth="1"/>
    <col min="3071" max="3071" width="20.6640625" style="1" customWidth="1"/>
    <col min="3072" max="3072" width="10.77734375" style="1" bestFit="1" customWidth="1"/>
    <col min="3073" max="3073" width="14.6640625" style="1" customWidth="1"/>
    <col min="3074" max="3074" width="4.6640625" style="1" customWidth="1"/>
    <col min="3075" max="3075" width="20.6640625" style="1" customWidth="1"/>
    <col min="3076" max="3076" width="10.77734375" style="1" customWidth="1"/>
    <col min="3077" max="3077" width="14.6640625" style="1" customWidth="1"/>
    <col min="3078" max="3325" width="8.88671875" style="1"/>
    <col min="3326" max="3326" width="4.6640625" style="1" customWidth="1"/>
    <col min="3327" max="3327" width="20.6640625" style="1" customWidth="1"/>
    <col min="3328" max="3328" width="10.77734375" style="1" bestFit="1" customWidth="1"/>
    <col min="3329" max="3329" width="14.6640625" style="1" customWidth="1"/>
    <col min="3330" max="3330" width="4.6640625" style="1" customWidth="1"/>
    <col min="3331" max="3331" width="20.6640625" style="1" customWidth="1"/>
    <col min="3332" max="3332" width="10.77734375" style="1" customWidth="1"/>
    <col min="3333" max="3333" width="14.6640625" style="1" customWidth="1"/>
    <col min="3334" max="3581" width="8.88671875" style="1"/>
    <col min="3582" max="3582" width="4.6640625" style="1" customWidth="1"/>
    <col min="3583" max="3583" width="20.6640625" style="1" customWidth="1"/>
    <col min="3584" max="3584" width="10.77734375" style="1" bestFit="1" customWidth="1"/>
    <col min="3585" max="3585" width="14.6640625" style="1" customWidth="1"/>
    <col min="3586" max="3586" width="4.6640625" style="1" customWidth="1"/>
    <col min="3587" max="3587" width="20.6640625" style="1" customWidth="1"/>
    <col min="3588" max="3588" width="10.77734375" style="1" customWidth="1"/>
    <col min="3589" max="3589" width="14.6640625" style="1" customWidth="1"/>
    <col min="3590" max="3837" width="8.88671875" style="1"/>
    <col min="3838" max="3838" width="4.6640625" style="1" customWidth="1"/>
    <col min="3839" max="3839" width="20.6640625" style="1" customWidth="1"/>
    <col min="3840" max="3840" width="10.77734375" style="1" bestFit="1" customWidth="1"/>
    <col min="3841" max="3841" width="14.6640625" style="1" customWidth="1"/>
    <col min="3842" max="3842" width="4.6640625" style="1" customWidth="1"/>
    <col min="3843" max="3843" width="20.6640625" style="1" customWidth="1"/>
    <col min="3844" max="3844" width="10.77734375" style="1" customWidth="1"/>
    <col min="3845" max="3845" width="14.6640625" style="1" customWidth="1"/>
    <col min="3846" max="4093" width="8.88671875" style="1"/>
    <col min="4094" max="4094" width="4.6640625" style="1" customWidth="1"/>
    <col min="4095" max="4095" width="20.6640625" style="1" customWidth="1"/>
    <col min="4096" max="4096" width="10.77734375" style="1" bestFit="1" customWidth="1"/>
    <col min="4097" max="4097" width="14.6640625" style="1" customWidth="1"/>
    <col min="4098" max="4098" width="4.6640625" style="1" customWidth="1"/>
    <col min="4099" max="4099" width="20.6640625" style="1" customWidth="1"/>
    <col min="4100" max="4100" width="10.77734375" style="1" customWidth="1"/>
    <col min="4101" max="4101" width="14.6640625" style="1" customWidth="1"/>
    <col min="4102" max="4349" width="8.88671875" style="1"/>
    <col min="4350" max="4350" width="4.6640625" style="1" customWidth="1"/>
    <col min="4351" max="4351" width="20.6640625" style="1" customWidth="1"/>
    <col min="4352" max="4352" width="10.77734375" style="1" bestFit="1" customWidth="1"/>
    <col min="4353" max="4353" width="14.6640625" style="1" customWidth="1"/>
    <col min="4354" max="4354" width="4.6640625" style="1" customWidth="1"/>
    <col min="4355" max="4355" width="20.6640625" style="1" customWidth="1"/>
    <col min="4356" max="4356" width="10.77734375" style="1" customWidth="1"/>
    <col min="4357" max="4357" width="14.6640625" style="1" customWidth="1"/>
    <col min="4358" max="4605" width="8.88671875" style="1"/>
    <col min="4606" max="4606" width="4.6640625" style="1" customWidth="1"/>
    <col min="4607" max="4607" width="20.6640625" style="1" customWidth="1"/>
    <col min="4608" max="4608" width="10.77734375" style="1" bestFit="1" customWidth="1"/>
    <col min="4609" max="4609" width="14.6640625" style="1" customWidth="1"/>
    <col min="4610" max="4610" width="4.6640625" style="1" customWidth="1"/>
    <col min="4611" max="4611" width="20.6640625" style="1" customWidth="1"/>
    <col min="4612" max="4612" width="10.77734375" style="1" customWidth="1"/>
    <col min="4613" max="4613" width="14.6640625" style="1" customWidth="1"/>
    <col min="4614" max="4861" width="8.88671875" style="1"/>
    <col min="4862" max="4862" width="4.6640625" style="1" customWidth="1"/>
    <col min="4863" max="4863" width="20.6640625" style="1" customWidth="1"/>
    <col min="4864" max="4864" width="10.77734375" style="1" bestFit="1" customWidth="1"/>
    <col min="4865" max="4865" width="14.6640625" style="1" customWidth="1"/>
    <col min="4866" max="4866" width="4.6640625" style="1" customWidth="1"/>
    <col min="4867" max="4867" width="20.6640625" style="1" customWidth="1"/>
    <col min="4868" max="4868" width="10.77734375" style="1" customWidth="1"/>
    <col min="4869" max="4869" width="14.6640625" style="1" customWidth="1"/>
    <col min="4870" max="5117" width="8.88671875" style="1"/>
    <col min="5118" max="5118" width="4.6640625" style="1" customWidth="1"/>
    <col min="5119" max="5119" width="20.6640625" style="1" customWidth="1"/>
    <col min="5120" max="5120" width="10.77734375" style="1" bestFit="1" customWidth="1"/>
    <col min="5121" max="5121" width="14.6640625" style="1" customWidth="1"/>
    <col min="5122" max="5122" width="4.6640625" style="1" customWidth="1"/>
    <col min="5123" max="5123" width="20.6640625" style="1" customWidth="1"/>
    <col min="5124" max="5124" width="10.77734375" style="1" customWidth="1"/>
    <col min="5125" max="5125" width="14.6640625" style="1" customWidth="1"/>
    <col min="5126" max="5373" width="8.88671875" style="1"/>
    <col min="5374" max="5374" width="4.6640625" style="1" customWidth="1"/>
    <col min="5375" max="5375" width="20.6640625" style="1" customWidth="1"/>
    <col min="5376" max="5376" width="10.77734375" style="1" bestFit="1" customWidth="1"/>
    <col min="5377" max="5377" width="14.6640625" style="1" customWidth="1"/>
    <col min="5378" max="5378" width="4.6640625" style="1" customWidth="1"/>
    <col min="5379" max="5379" width="20.6640625" style="1" customWidth="1"/>
    <col min="5380" max="5380" width="10.77734375" style="1" customWidth="1"/>
    <col min="5381" max="5381" width="14.6640625" style="1" customWidth="1"/>
    <col min="5382" max="5629" width="8.88671875" style="1"/>
    <col min="5630" max="5630" width="4.6640625" style="1" customWidth="1"/>
    <col min="5631" max="5631" width="20.6640625" style="1" customWidth="1"/>
    <col min="5632" max="5632" width="10.77734375" style="1" bestFit="1" customWidth="1"/>
    <col min="5633" max="5633" width="14.6640625" style="1" customWidth="1"/>
    <col min="5634" max="5634" width="4.6640625" style="1" customWidth="1"/>
    <col min="5635" max="5635" width="20.6640625" style="1" customWidth="1"/>
    <col min="5636" max="5636" width="10.77734375" style="1" customWidth="1"/>
    <col min="5637" max="5637" width="14.6640625" style="1" customWidth="1"/>
    <col min="5638" max="5885" width="8.88671875" style="1"/>
    <col min="5886" max="5886" width="4.6640625" style="1" customWidth="1"/>
    <col min="5887" max="5887" width="20.6640625" style="1" customWidth="1"/>
    <col min="5888" max="5888" width="10.77734375" style="1" bestFit="1" customWidth="1"/>
    <col min="5889" max="5889" width="14.6640625" style="1" customWidth="1"/>
    <col min="5890" max="5890" width="4.6640625" style="1" customWidth="1"/>
    <col min="5891" max="5891" width="20.6640625" style="1" customWidth="1"/>
    <col min="5892" max="5892" width="10.77734375" style="1" customWidth="1"/>
    <col min="5893" max="5893" width="14.6640625" style="1" customWidth="1"/>
    <col min="5894" max="6141" width="8.88671875" style="1"/>
    <col min="6142" max="6142" width="4.6640625" style="1" customWidth="1"/>
    <col min="6143" max="6143" width="20.6640625" style="1" customWidth="1"/>
    <col min="6144" max="6144" width="10.77734375" style="1" bestFit="1" customWidth="1"/>
    <col min="6145" max="6145" width="14.6640625" style="1" customWidth="1"/>
    <col min="6146" max="6146" width="4.6640625" style="1" customWidth="1"/>
    <col min="6147" max="6147" width="20.6640625" style="1" customWidth="1"/>
    <col min="6148" max="6148" width="10.77734375" style="1" customWidth="1"/>
    <col min="6149" max="6149" width="14.6640625" style="1" customWidth="1"/>
    <col min="6150" max="6397" width="8.88671875" style="1"/>
    <col min="6398" max="6398" width="4.6640625" style="1" customWidth="1"/>
    <col min="6399" max="6399" width="20.6640625" style="1" customWidth="1"/>
    <col min="6400" max="6400" width="10.77734375" style="1" bestFit="1" customWidth="1"/>
    <col min="6401" max="6401" width="14.6640625" style="1" customWidth="1"/>
    <col min="6402" max="6402" width="4.6640625" style="1" customWidth="1"/>
    <col min="6403" max="6403" width="20.6640625" style="1" customWidth="1"/>
    <col min="6404" max="6404" width="10.77734375" style="1" customWidth="1"/>
    <col min="6405" max="6405" width="14.6640625" style="1" customWidth="1"/>
    <col min="6406" max="6653" width="8.88671875" style="1"/>
    <col min="6654" max="6654" width="4.6640625" style="1" customWidth="1"/>
    <col min="6655" max="6655" width="20.6640625" style="1" customWidth="1"/>
    <col min="6656" max="6656" width="10.77734375" style="1" bestFit="1" customWidth="1"/>
    <col min="6657" max="6657" width="14.6640625" style="1" customWidth="1"/>
    <col min="6658" max="6658" width="4.6640625" style="1" customWidth="1"/>
    <col min="6659" max="6659" width="20.6640625" style="1" customWidth="1"/>
    <col min="6660" max="6660" width="10.77734375" style="1" customWidth="1"/>
    <col min="6661" max="6661" width="14.6640625" style="1" customWidth="1"/>
    <col min="6662" max="6909" width="8.88671875" style="1"/>
    <col min="6910" max="6910" width="4.6640625" style="1" customWidth="1"/>
    <col min="6911" max="6911" width="20.6640625" style="1" customWidth="1"/>
    <col min="6912" max="6912" width="10.77734375" style="1" bestFit="1" customWidth="1"/>
    <col min="6913" max="6913" width="14.6640625" style="1" customWidth="1"/>
    <col min="6914" max="6914" width="4.6640625" style="1" customWidth="1"/>
    <col min="6915" max="6915" width="20.6640625" style="1" customWidth="1"/>
    <col min="6916" max="6916" width="10.77734375" style="1" customWidth="1"/>
    <col min="6917" max="6917" width="14.6640625" style="1" customWidth="1"/>
    <col min="6918" max="7165" width="8.88671875" style="1"/>
    <col min="7166" max="7166" width="4.6640625" style="1" customWidth="1"/>
    <col min="7167" max="7167" width="20.6640625" style="1" customWidth="1"/>
    <col min="7168" max="7168" width="10.77734375" style="1" bestFit="1" customWidth="1"/>
    <col min="7169" max="7169" width="14.6640625" style="1" customWidth="1"/>
    <col min="7170" max="7170" width="4.6640625" style="1" customWidth="1"/>
    <col min="7171" max="7171" width="20.6640625" style="1" customWidth="1"/>
    <col min="7172" max="7172" width="10.77734375" style="1" customWidth="1"/>
    <col min="7173" max="7173" width="14.6640625" style="1" customWidth="1"/>
    <col min="7174" max="7421" width="8.88671875" style="1"/>
    <col min="7422" max="7422" width="4.6640625" style="1" customWidth="1"/>
    <col min="7423" max="7423" width="20.6640625" style="1" customWidth="1"/>
    <col min="7424" max="7424" width="10.77734375" style="1" bestFit="1" customWidth="1"/>
    <col min="7425" max="7425" width="14.6640625" style="1" customWidth="1"/>
    <col min="7426" max="7426" width="4.6640625" style="1" customWidth="1"/>
    <col min="7427" max="7427" width="20.6640625" style="1" customWidth="1"/>
    <col min="7428" max="7428" width="10.77734375" style="1" customWidth="1"/>
    <col min="7429" max="7429" width="14.6640625" style="1" customWidth="1"/>
    <col min="7430" max="7677" width="8.88671875" style="1"/>
    <col min="7678" max="7678" width="4.6640625" style="1" customWidth="1"/>
    <col min="7679" max="7679" width="20.6640625" style="1" customWidth="1"/>
    <col min="7680" max="7680" width="10.77734375" style="1" bestFit="1" customWidth="1"/>
    <col min="7681" max="7681" width="14.6640625" style="1" customWidth="1"/>
    <col min="7682" max="7682" width="4.6640625" style="1" customWidth="1"/>
    <col min="7683" max="7683" width="20.6640625" style="1" customWidth="1"/>
    <col min="7684" max="7684" width="10.77734375" style="1" customWidth="1"/>
    <col min="7685" max="7685" width="14.6640625" style="1" customWidth="1"/>
    <col min="7686" max="7933" width="8.88671875" style="1"/>
    <col min="7934" max="7934" width="4.6640625" style="1" customWidth="1"/>
    <col min="7935" max="7935" width="20.6640625" style="1" customWidth="1"/>
    <col min="7936" max="7936" width="10.77734375" style="1" bestFit="1" customWidth="1"/>
    <col min="7937" max="7937" width="14.6640625" style="1" customWidth="1"/>
    <col min="7938" max="7938" width="4.6640625" style="1" customWidth="1"/>
    <col min="7939" max="7939" width="20.6640625" style="1" customWidth="1"/>
    <col min="7940" max="7940" width="10.77734375" style="1" customWidth="1"/>
    <col min="7941" max="7941" width="14.6640625" style="1" customWidth="1"/>
    <col min="7942" max="8189" width="8.88671875" style="1"/>
    <col min="8190" max="8190" width="4.6640625" style="1" customWidth="1"/>
    <col min="8191" max="8191" width="20.6640625" style="1" customWidth="1"/>
    <col min="8192" max="8192" width="10.77734375" style="1" bestFit="1" customWidth="1"/>
    <col min="8193" max="8193" width="14.6640625" style="1" customWidth="1"/>
    <col min="8194" max="8194" width="4.6640625" style="1" customWidth="1"/>
    <col min="8195" max="8195" width="20.6640625" style="1" customWidth="1"/>
    <col min="8196" max="8196" width="10.77734375" style="1" customWidth="1"/>
    <col min="8197" max="8197" width="14.6640625" style="1" customWidth="1"/>
    <col min="8198" max="8445" width="8.88671875" style="1"/>
    <col min="8446" max="8446" width="4.6640625" style="1" customWidth="1"/>
    <col min="8447" max="8447" width="20.6640625" style="1" customWidth="1"/>
    <col min="8448" max="8448" width="10.77734375" style="1" bestFit="1" customWidth="1"/>
    <col min="8449" max="8449" width="14.6640625" style="1" customWidth="1"/>
    <col min="8450" max="8450" width="4.6640625" style="1" customWidth="1"/>
    <col min="8451" max="8451" width="20.6640625" style="1" customWidth="1"/>
    <col min="8452" max="8452" width="10.77734375" style="1" customWidth="1"/>
    <col min="8453" max="8453" width="14.6640625" style="1" customWidth="1"/>
    <col min="8454" max="8701" width="8.88671875" style="1"/>
    <col min="8702" max="8702" width="4.6640625" style="1" customWidth="1"/>
    <col min="8703" max="8703" width="20.6640625" style="1" customWidth="1"/>
    <col min="8704" max="8704" width="10.77734375" style="1" bestFit="1" customWidth="1"/>
    <col min="8705" max="8705" width="14.6640625" style="1" customWidth="1"/>
    <col min="8706" max="8706" width="4.6640625" style="1" customWidth="1"/>
    <col min="8707" max="8707" width="20.6640625" style="1" customWidth="1"/>
    <col min="8708" max="8708" width="10.77734375" style="1" customWidth="1"/>
    <col min="8709" max="8709" width="14.6640625" style="1" customWidth="1"/>
    <col min="8710" max="8957" width="8.88671875" style="1"/>
    <col min="8958" max="8958" width="4.6640625" style="1" customWidth="1"/>
    <col min="8959" max="8959" width="20.6640625" style="1" customWidth="1"/>
    <col min="8960" max="8960" width="10.77734375" style="1" bestFit="1" customWidth="1"/>
    <col min="8961" max="8961" width="14.6640625" style="1" customWidth="1"/>
    <col min="8962" max="8962" width="4.6640625" style="1" customWidth="1"/>
    <col min="8963" max="8963" width="20.6640625" style="1" customWidth="1"/>
    <col min="8964" max="8964" width="10.77734375" style="1" customWidth="1"/>
    <col min="8965" max="8965" width="14.6640625" style="1" customWidth="1"/>
    <col min="8966" max="9213" width="8.88671875" style="1"/>
    <col min="9214" max="9214" width="4.6640625" style="1" customWidth="1"/>
    <col min="9215" max="9215" width="20.6640625" style="1" customWidth="1"/>
    <col min="9216" max="9216" width="10.77734375" style="1" bestFit="1" customWidth="1"/>
    <col min="9217" max="9217" width="14.6640625" style="1" customWidth="1"/>
    <col min="9218" max="9218" width="4.6640625" style="1" customWidth="1"/>
    <col min="9219" max="9219" width="20.6640625" style="1" customWidth="1"/>
    <col min="9220" max="9220" width="10.77734375" style="1" customWidth="1"/>
    <col min="9221" max="9221" width="14.6640625" style="1" customWidth="1"/>
    <col min="9222" max="9469" width="8.88671875" style="1"/>
    <col min="9470" max="9470" width="4.6640625" style="1" customWidth="1"/>
    <col min="9471" max="9471" width="20.6640625" style="1" customWidth="1"/>
    <col min="9472" max="9472" width="10.77734375" style="1" bestFit="1" customWidth="1"/>
    <col min="9473" max="9473" width="14.6640625" style="1" customWidth="1"/>
    <col min="9474" max="9474" width="4.6640625" style="1" customWidth="1"/>
    <col min="9475" max="9475" width="20.6640625" style="1" customWidth="1"/>
    <col min="9476" max="9476" width="10.77734375" style="1" customWidth="1"/>
    <col min="9477" max="9477" width="14.6640625" style="1" customWidth="1"/>
    <col min="9478" max="9725" width="8.88671875" style="1"/>
    <col min="9726" max="9726" width="4.6640625" style="1" customWidth="1"/>
    <col min="9727" max="9727" width="20.6640625" style="1" customWidth="1"/>
    <col min="9728" max="9728" width="10.77734375" style="1" bestFit="1" customWidth="1"/>
    <col min="9729" max="9729" width="14.6640625" style="1" customWidth="1"/>
    <col min="9730" max="9730" width="4.6640625" style="1" customWidth="1"/>
    <col min="9731" max="9731" width="20.6640625" style="1" customWidth="1"/>
    <col min="9732" max="9732" width="10.77734375" style="1" customWidth="1"/>
    <col min="9733" max="9733" width="14.6640625" style="1" customWidth="1"/>
    <col min="9734" max="9981" width="8.88671875" style="1"/>
    <col min="9982" max="9982" width="4.6640625" style="1" customWidth="1"/>
    <col min="9983" max="9983" width="20.6640625" style="1" customWidth="1"/>
    <col min="9984" max="9984" width="10.77734375" style="1" bestFit="1" customWidth="1"/>
    <col min="9985" max="9985" width="14.6640625" style="1" customWidth="1"/>
    <col min="9986" max="9986" width="4.6640625" style="1" customWidth="1"/>
    <col min="9987" max="9987" width="20.6640625" style="1" customWidth="1"/>
    <col min="9988" max="9988" width="10.77734375" style="1" customWidth="1"/>
    <col min="9989" max="9989" width="14.6640625" style="1" customWidth="1"/>
    <col min="9990" max="10237" width="8.88671875" style="1"/>
    <col min="10238" max="10238" width="4.6640625" style="1" customWidth="1"/>
    <col min="10239" max="10239" width="20.6640625" style="1" customWidth="1"/>
    <col min="10240" max="10240" width="10.77734375" style="1" bestFit="1" customWidth="1"/>
    <col min="10241" max="10241" width="14.6640625" style="1" customWidth="1"/>
    <col min="10242" max="10242" width="4.6640625" style="1" customWidth="1"/>
    <col min="10243" max="10243" width="20.6640625" style="1" customWidth="1"/>
    <col min="10244" max="10244" width="10.77734375" style="1" customWidth="1"/>
    <col min="10245" max="10245" width="14.6640625" style="1" customWidth="1"/>
    <col min="10246" max="10493" width="8.88671875" style="1"/>
    <col min="10494" max="10494" width="4.6640625" style="1" customWidth="1"/>
    <col min="10495" max="10495" width="20.6640625" style="1" customWidth="1"/>
    <col min="10496" max="10496" width="10.77734375" style="1" bestFit="1" customWidth="1"/>
    <col min="10497" max="10497" width="14.6640625" style="1" customWidth="1"/>
    <col min="10498" max="10498" width="4.6640625" style="1" customWidth="1"/>
    <col min="10499" max="10499" width="20.6640625" style="1" customWidth="1"/>
    <col min="10500" max="10500" width="10.77734375" style="1" customWidth="1"/>
    <col min="10501" max="10501" width="14.6640625" style="1" customWidth="1"/>
    <col min="10502" max="10749" width="8.88671875" style="1"/>
    <col min="10750" max="10750" width="4.6640625" style="1" customWidth="1"/>
    <col min="10751" max="10751" width="20.6640625" style="1" customWidth="1"/>
    <col min="10752" max="10752" width="10.77734375" style="1" bestFit="1" customWidth="1"/>
    <col min="10753" max="10753" width="14.6640625" style="1" customWidth="1"/>
    <col min="10754" max="10754" width="4.6640625" style="1" customWidth="1"/>
    <col min="10755" max="10755" width="20.6640625" style="1" customWidth="1"/>
    <col min="10756" max="10756" width="10.77734375" style="1" customWidth="1"/>
    <col min="10757" max="10757" width="14.6640625" style="1" customWidth="1"/>
    <col min="10758" max="11005" width="8.88671875" style="1"/>
    <col min="11006" max="11006" width="4.6640625" style="1" customWidth="1"/>
    <col min="11007" max="11007" width="20.6640625" style="1" customWidth="1"/>
    <col min="11008" max="11008" width="10.77734375" style="1" bestFit="1" customWidth="1"/>
    <col min="11009" max="11009" width="14.6640625" style="1" customWidth="1"/>
    <col min="11010" max="11010" width="4.6640625" style="1" customWidth="1"/>
    <col min="11011" max="11011" width="20.6640625" style="1" customWidth="1"/>
    <col min="11012" max="11012" width="10.77734375" style="1" customWidth="1"/>
    <col min="11013" max="11013" width="14.6640625" style="1" customWidth="1"/>
    <col min="11014" max="11261" width="8.88671875" style="1"/>
    <col min="11262" max="11262" width="4.6640625" style="1" customWidth="1"/>
    <col min="11263" max="11263" width="20.6640625" style="1" customWidth="1"/>
    <col min="11264" max="11264" width="10.77734375" style="1" bestFit="1" customWidth="1"/>
    <col min="11265" max="11265" width="14.6640625" style="1" customWidth="1"/>
    <col min="11266" max="11266" width="4.6640625" style="1" customWidth="1"/>
    <col min="11267" max="11267" width="20.6640625" style="1" customWidth="1"/>
    <col min="11268" max="11268" width="10.77734375" style="1" customWidth="1"/>
    <col min="11269" max="11269" width="14.6640625" style="1" customWidth="1"/>
    <col min="11270" max="11517" width="8.88671875" style="1"/>
    <col min="11518" max="11518" width="4.6640625" style="1" customWidth="1"/>
    <col min="11519" max="11519" width="20.6640625" style="1" customWidth="1"/>
    <col min="11520" max="11520" width="10.77734375" style="1" bestFit="1" customWidth="1"/>
    <col min="11521" max="11521" width="14.6640625" style="1" customWidth="1"/>
    <col min="11522" max="11522" width="4.6640625" style="1" customWidth="1"/>
    <col min="11523" max="11523" width="20.6640625" style="1" customWidth="1"/>
    <col min="11524" max="11524" width="10.77734375" style="1" customWidth="1"/>
    <col min="11525" max="11525" width="14.6640625" style="1" customWidth="1"/>
    <col min="11526" max="11773" width="8.88671875" style="1"/>
    <col min="11774" max="11774" width="4.6640625" style="1" customWidth="1"/>
    <col min="11775" max="11775" width="20.6640625" style="1" customWidth="1"/>
    <col min="11776" max="11776" width="10.77734375" style="1" bestFit="1" customWidth="1"/>
    <col min="11777" max="11777" width="14.6640625" style="1" customWidth="1"/>
    <col min="11778" max="11778" width="4.6640625" style="1" customWidth="1"/>
    <col min="11779" max="11779" width="20.6640625" style="1" customWidth="1"/>
    <col min="11780" max="11780" width="10.77734375" style="1" customWidth="1"/>
    <col min="11781" max="11781" width="14.6640625" style="1" customWidth="1"/>
    <col min="11782" max="12029" width="8.88671875" style="1"/>
    <col min="12030" max="12030" width="4.6640625" style="1" customWidth="1"/>
    <col min="12031" max="12031" width="20.6640625" style="1" customWidth="1"/>
    <col min="12032" max="12032" width="10.77734375" style="1" bestFit="1" customWidth="1"/>
    <col min="12033" max="12033" width="14.6640625" style="1" customWidth="1"/>
    <col min="12034" max="12034" width="4.6640625" style="1" customWidth="1"/>
    <col min="12035" max="12035" width="20.6640625" style="1" customWidth="1"/>
    <col min="12036" max="12036" width="10.77734375" style="1" customWidth="1"/>
    <col min="12037" max="12037" width="14.6640625" style="1" customWidth="1"/>
    <col min="12038" max="12285" width="8.88671875" style="1"/>
    <col min="12286" max="12286" width="4.6640625" style="1" customWidth="1"/>
    <col min="12287" max="12287" width="20.6640625" style="1" customWidth="1"/>
    <col min="12288" max="12288" width="10.77734375" style="1" bestFit="1" customWidth="1"/>
    <col min="12289" max="12289" width="14.6640625" style="1" customWidth="1"/>
    <col min="12290" max="12290" width="4.6640625" style="1" customWidth="1"/>
    <col min="12291" max="12291" width="20.6640625" style="1" customWidth="1"/>
    <col min="12292" max="12292" width="10.77734375" style="1" customWidth="1"/>
    <col min="12293" max="12293" width="14.6640625" style="1" customWidth="1"/>
    <col min="12294" max="12541" width="8.88671875" style="1"/>
    <col min="12542" max="12542" width="4.6640625" style="1" customWidth="1"/>
    <col min="12543" max="12543" width="20.6640625" style="1" customWidth="1"/>
    <col min="12544" max="12544" width="10.77734375" style="1" bestFit="1" customWidth="1"/>
    <col min="12545" max="12545" width="14.6640625" style="1" customWidth="1"/>
    <col min="12546" max="12546" width="4.6640625" style="1" customWidth="1"/>
    <col min="12547" max="12547" width="20.6640625" style="1" customWidth="1"/>
    <col min="12548" max="12548" width="10.77734375" style="1" customWidth="1"/>
    <col min="12549" max="12549" width="14.6640625" style="1" customWidth="1"/>
    <col min="12550" max="12797" width="8.88671875" style="1"/>
    <col min="12798" max="12798" width="4.6640625" style="1" customWidth="1"/>
    <col min="12799" max="12799" width="20.6640625" style="1" customWidth="1"/>
    <col min="12800" max="12800" width="10.77734375" style="1" bestFit="1" customWidth="1"/>
    <col min="12801" max="12801" width="14.6640625" style="1" customWidth="1"/>
    <col min="12802" max="12802" width="4.6640625" style="1" customWidth="1"/>
    <col min="12803" max="12803" width="20.6640625" style="1" customWidth="1"/>
    <col min="12804" max="12804" width="10.77734375" style="1" customWidth="1"/>
    <col min="12805" max="12805" width="14.6640625" style="1" customWidth="1"/>
    <col min="12806" max="13053" width="8.88671875" style="1"/>
    <col min="13054" max="13054" width="4.6640625" style="1" customWidth="1"/>
    <col min="13055" max="13055" width="20.6640625" style="1" customWidth="1"/>
    <col min="13056" max="13056" width="10.77734375" style="1" bestFit="1" customWidth="1"/>
    <col min="13057" max="13057" width="14.6640625" style="1" customWidth="1"/>
    <col min="13058" max="13058" width="4.6640625" style="1" customWidth="1"/>
    <col min="13059" max="13059" width="20.6640625" style="1" customWidth="1"/>
    <col min="13060" max="13060" width="10.77734375" style="1" customWidth="1"/>
    <col min="13061" max="13061" width="14.6640625" style="1" customWidth="1"/>
    <col min="13062" max="13309" width="8.88671875" style="1"/>
    <col min="13310" max="13310" width="4.6640625" style="1" customWidth="1"/>
    <col min="13311" max="13311" width="20.6640625" style="1" customWidth="1"/>
    <col min="13312" max="13312" width="10.77734375" style="1" bestFit="1" customWidth="1"/>
    <col min="13313" max="13313" width="14.6640625" style="1" customWidth="1"/>
    <col min="13314" max="13314" width="4.6640625" style="1" customWidth="1"/>
    <col min="13315" max="13315" width="20.6640625" style="1" customWidth="1"/>
    <col min="13316" max="13316" width="10.77734375" style="1" customWidth="1"/>
    <col min="13317" max="13317" width="14.6640625" style="1" customWidth="1"/>
    <col min="13318" max="13565" width="8.88671875" style="1"/>
    <col min="13566" max="13566" width="4.6640625" style="1" customWidth="1"/>
    <col min="13567" max="13567" width="20.6640625" style="1" customWidth="1"/>
    <col min="13568" max="13568" width="10.77734375" style="1" bestFit="1" customWidth="1"/>
    <col min="13569" max="13569" width="14.6640625" style="1" customWidth="1"/>
    <col min="13570" max="13570" width="4.6640625" style="1" customWidth="1"/>
    <col min="13571" max="13571" width="20.6640625" style="1" customWidth="1"/>
    <col min="13572" max="13572" width="10.77734375" style="1" customWidth="1"/>
    <col min="13573" max="13573" width="14.6640625" style="1" customWidth="1"/>
    <col min="13574" max="13821" width="8.88671875" style="1"/>
    <col min="13822" max="13822" width="4.6640625" style="1" customWidth="1"/>
    <col min="13823" max="13823" width="20.6640625" style="1" customWidth="1"/>
    <col min="13824" max="13824" width="10.77734375" style="1" bestFit="1" customWidth="1"/>
    <col min="13825" max="13825" width="14.6640625" style="1" customWidth="1"/>
    <col min="13826" max="13826" width="4.6640625" style="1" customWidth="1"/>
    <col min="13827" max="13827" width="20.6640625" style="1" customWidth="1"/>
    <col min="13828" max="13828" width="10.77734375" style="1" customWidth="1"/>
    <col min="13829" max="13829" width="14.6640625" style="1" customWidth="1"/>
    <col min="13830" max="14077" width="8.88671875" style="1"/>
    <col min="14078" max="14078" width="4.6640625" style="1" customWidth="1"/>
    <col min="14079" max="14079" width="20.6640625" style="1" customWidth="1"/>
    <col min="14080" max="14080" width="10.77734375" style="1" bestFit="1" customWidth="1"/>
    <col min="14081" max="14081" width="14.6640625" style="1" customWidth="1"/>
    <col min="14082" max="14082" width="4.6640625" style="1" customWidth="1"/>
    <col min="14083" max="14083" width="20.6640625" style="1" customWidth="1"/>
    <col min="14084" max="14084" width="10.77734375" style="1" customWidth="1"/>
    <col min="14085" max="14085" width="14.6640625" style="1" customWidth="1"/>
    <col min="14086" max="14333" width="8.88671875" style="1"/>
    <col min="14334" max="14334" width="4.6640625" style="1" customWidth="1"/>
    <col min="14335" max="14335" width="20.6640625" style="1" customWidth="1"/>
    <col min="14336" max="14336" width="10.77734375" style="1" bestFit="1" customWidth="1"/>
    <col min="14337" max="14337" width="14.6640625" style="1" customWidth="1"/>
    <col min="14338" max="14338" width="4.6640625" style="1" customWidth="1"/>
    <col min="14339" max="14339" width="20.6640625" style="1" customWidth="1"/>
    <col min="14340" max="14340" width="10.77734375" style="1" customWidth="1"/>
    <col min="14341" max="14341" width="14.6640625" style="1" customWidth="1"/>
    <col min="14342" max="14589" width="8.88671875" style="1"/>
    <col min="14590" max="14590" width="4.6640625" style="1" customWidth="1"/>
    <col min="14591" max="14591" width="20.6640625" style="1" customWidth="1"/>
    <col min="14592" max="14592" width="10.77734375" style="1" bestFit="1" customWidth="1"/>
    <col min="14593" max="14593" width="14.6640625" style="1" customWidth="1"/>
    <col min="14594" max="14594" width="4.6640625" style="1" customWidth="1"/>
    <col min="14595" max="14595" width="20.6640625" style="1" customWidth="1"/>
    <col min="14596" max="14596" width="10.77734375" style="1" customWidth="1"/>
    <col min="14597" max="14597" width="14.6640625" style="1" customWidth="1"/>
    <col min="14598" max="14845" width="8.88671875" style="1"/>
    <col min="14846" max="14846" width="4.6640625" style="1" customWidth="1"/>
    <col min="14847" max="14847" width="20.6640625" style="1" customWidth="1"/>
    <col min="14848" max="14848" width="10.77734375" style="1" bestFit="1" customWidth="1"/>
    <col min="14849" max="14849" width="14.6640625" style="1" customWidth="1"/>
    <col min="14850" max="14850" width="4.6640625" style="1" customWidth="1"/>
    <col min="14851" max="14851" width="20.6640625" style="1" customWidth="1"/>
    <col min="14852" max="14852" width="10.77734375" style="1" customWidth="1"/>
    <col min="14853" max="14853" width="14.6640625" style="1" customWidth="1"/>
    <col min="14854" max="15101" width="8.88671875" style="1"/>
    <col min="15102" max="15102" width="4.6640625" style="1" customWidth="1"/>
    <col min="15103" max="15103" width="20.6640625" style="1" customWidth="1"/>
    <col min="15104" max="15104" width="10.77734375" style="1" bestFit="1" customWidth="1"/>
    <col min="15105" max="15105" width="14.6640625" style="1" customWidth="1"/>
    <col min="15106" max="15106" width="4.6640625" style="1" customWidth="1"/>
    <col min="15107" max="15107" width="20.6640625" style="1" customWidth="1"/>
    <col min="15108" max="15108" width="10.77734375" style="1" customWidth="1"/>
    <col min="15109" max="15109" width="14.6640625" style="1" customWidth="1"/>
    <col min="15110" max="15357" width="8.88671875" style="1"/>
    <col min="15358" max="15358" width="4.6640625" style="1" customWidth="1"/>
    <col min="15359" max="15359" width="20.6640625" style="1" customWidth="1"/>
    <col min="15360" max="15360" width="10.77734375" style="1" bestFit="1" customWidth="1"/>
    <col min="15361" max="15361" width="14.6640625" style="1" customWidth="1"/>
    <col min="15362" max="15362" width="4.6640625" style="1" customWidth="1"/>
    <col min="15363" max="15363" width="20.6640625" style="1" customWidth="1"/>
    <col min="15364" max="15364" width="10.77734375" style="1" customWidth="1"/>
    <col min="15365" max="15365" width="14.6640625" style="1" customWidth="1"/>
    <col min="15366" max="15613" width="8.88671875" style="1"/>
    <col min="15614" max="15614" width="4.6640625" style="1" customWidth="1"/>
    <col min="15615" max="15615" width="20.6640625" style="1" customWidth="1"/>
    <col min="15616" max="15616" width="10.77734375" style="1" bestFit="1" customWidth="1"/>
    <col min="15617" max="15617" width="14.6640625" style="1" customWidth="1"/>
    <col min="15618" max="15618" width="4.6640625" style="1" customWidth="1"/>
    <col min="15619" max="15619" width="20.6640625" style="1" customWidth="1"/>
    <col min="15620" max="15620" width="10.77734375" style="1" customWidth="1"/>
    <col min="15621" max="15621" width="14.6640625" style="1" customWidth="1"/>
    <col min="15622" max="15869" width="8.88671875" style="1"/>
    <col min="15870" max="15870" width="4.6640625" style="1" customWidth="1"/>
    <col min="15871" max="15871" width="20.6640625" style="1" customWidth="1"/>
    <col min="15872" max="15872" width="10.77734375" style="1" bestFit="1" customWidth="1"/>
    <col min="15873" max="15873" width="14.6640625" style="1" customWidth="1"/>
    <col min="15874" max="15874" width="4.6640625" style="1" customWidth="1"/>
    <col min="15875" max="15875" width="20.6640625" style="1" customWidth="1"/>
    <col min="15876" max="15876" width="10.77734375" style="1" customWidth="1"/>
    <col min="15877" max="15877" width="14.6640625" style="1" customWidth="1"/>
    <col min="15878" max="16125" width="8.88671875" style="1"/>
    <col min="16126" max="16126" width="4.6640625" style="1" customWidth="1"/>
    <col min="16127" max="16127" width="20.6640625" style="1" customWidth="1"/>
    <col min="16128" max="16128" width="10.77734375" style="1" bestFit="1" customWidth="1"/>
    <col min="16129" max="16129" width="14.6640625" style="1" customWidth="1"/>
    <col min="16130" max="16130" width="4.6640625" style="1" customWidth="1"/>
    <col min="16131" max="16131" width="20.6640625" style="1" customWidth="1"/>
    <col min="16132" max="16132" width="10.77734375" style="1" customWidth="1"/>
    <col min="16133" max="16133" width="14.6640625" style="1" customWidth="1"/>
    <col min="16134" max="16384" width="8.88671875" style="1"/>
  </cols>
  <sheetData>
    <row r="1" spans="1:15" ht="16.2" thickBot="1" x14ac:dyDescent="0.35"/>
    <row r="2" spans="1:15" ht="16.2" thickBot="1" x14ac:dyDescent="0.35">
      <c r="C2" s="221" t="s">
        <v>30</v>
      </c>
      <c r="D2" s="222"/>
      <c r="E2" s="223"/>
      <c r="G2" s="221" t="s">
        <v>31</v>
      </c>
      <c r="H2" s="222"/>
      <c r="I2" s="223"/>
    </row>
    <row r="3" spans="1:15" ht="16.2" thickTop="1" x14ac:dyDescent="0.3">
      <c r="C3" s="38" t="s">
        <v>32</v>
      </c>
      <c r="D3" s="39">
        <v>10</v>
      </c>
      <c r="E3" s="40"/>
      <c r="G3" s="38" t="s">
        <v>32</v>
      </c>
      <c r="H3" s="39">
        <v>10</v>
      </c>
      <c r="I3" s="40"/>
      <c r="L3" s="1" t="s">
        <v>241</v>
      </c>
    </row>
    <row r="4" spans="1:15" x14ac:dyDescent="0.3">
      <c r="C4" s="38" t="s">
        <v>33</v>
      </c>
      <c r="D4" s="41">
        <v>1000</v>
      </c>
      <c r="E4" s="40"/>
      <c r="G4" s="38" t="s">
        <v>33</v>
      </c>
      <c r="H4" s="41">
        <v>1000</v>
      </c>
      <c r="I4" s="40"/>
      <c r="M4" s="1" t="s">
        <v>174</v>
      </c>
      <c r="N4" s="1">
        <v>20</v>
      </c>
    </row>
    <row r="5" spans="1:15" x14ac:dyDescent="0.3">
      <c r="C5" s="38" t="s">
        <v>34</v>
      </c>
      <c r="D5" s="42">
        <v>8.5000000000000006E-2</v>
      </c>
      <c r="E5" s="40"/>
      <c r="G5" s="38" t="s">
        <v>34</v>
      </c>
      <c r="H5" s="42">
        <v>8.5000000000000006E-2</v>
      </c>
      <c r="I5" s="40"/>
      <c r="M5" s="1" t="s">
        <v>230</v>
      </c>
      <c r="N5" s="1">
        <v>1000</v>
      </c>
    </row>
    <row r="6" spans="1:15" x14ac:dyDescent="0.3">
      <c r="C6" s="38" t="s">
        <v>35</v>
      </c>
      <c r="D6" s="43">
        <v>1</v>
      </c>
      <c r="E6" s="40"/>
      <c r="G6" s="38" t="s">
        <v>35</v>
      </c>
      <c r="H6" s="43">
        <v>2</v>
      </c>
      <c r="I6" s="40"/>
      <c r="M6" s="1" t="s">
        <v>234</v>
      </c>
      <c r="N6" s="1">
        <f>0.085/2</f>
        <v>4.2500000000000003E-2</v>
      </c>
    </row>
    <row r="7" spans="1:15" x14ac:dyDescent="0.3">
      <c r="C7" s="38" t="s">
        <v>36</v>
      </c>
      <c r="D7" s="42">
        <v>0.09</v>
      </c>
      <c r="E7" s="40"/>
      <c r="G7" s="38" t="s">
        <v>36</v>
      </c>
      <c r="H7" s="42">
        <v>0.09</v>
      </c>
      <c r="I7" s="40"/>
      <c r="M7" s="1" t="s">
        <v>55</v>
      </c>
      <c r="N7" s="1">
        <f>H7/2</f>
        <v>4.4999999999999998E-2</v>
      </c>
    </row>
    <row r="8" spans="1:15" x14ac:dyDescent="0.3">
      <c r="C8" s="38" t="s">
        <v>37</v>
      </c>
      <c r="D8" s="39">
        <v>5</v>
      </c>
      <c r="E8" s="40"/>
      <c r="G8" s="38" t="s">
        <v>37</v>
      </c>
      <c r="H8" s="39">
        <v>5</v>
      </c>
      <c r="I8" s="40"/>
      <c r="M8" s="1" t="s">
        <v>228</v>
      </c>
      <c r="N8" s="1">
        <f>-H13/2</f>
        <v>-42.5</v>
      </c>
    </row>
    <row r="9" spans="1:15" x14ac:dyDescent="0.3">
      <c r="C9" s="38" t="s">
        <v>38</v>
      </c>
      <c r="D9" s="44">
        <v>0.09</v>
      </c>
      <c r="E9" s="40"/>
      <c r="G9" s="38" t="s">
        <v>38</v>
      </c>
      <c r="H9" s="44">
        <v>0.09</v>
      </c>
      <c r="I9" s="40"/>
      <c r="M9" s="1" t="s">
        <v>53</v>
      </c>
      <c r="N9" s="199"/>
    </row>
    <row r="10" spans="1:15" x14ac:dyDescent="0.3">
      <c r="C10" s="38" t="s">
        <v>39</v>
      </c>
      <c r="D10" s="44">
        <v>0.09</v>
      </c>
      <c r="E10" s="40"/>
      <c r="G10" s="38" t="s">
        <v>39</v>
      </c>
      <c r="H10" s="44">
        <v>0.09</v>
      </c>
      <c r="I10" s="40"/>
    </row>
    <row r="11" spans="1:15" x14ac:dyDescent="0.3">
      <c r="C11" s="38"/>
      <c r="D11" s="45"/>
      <c r="E11" s="40"/>
      <c r="G11" s="38"/>
      <c r="H11" s="45"/>
      <c r="I11" s="40"/>
      <c r="M11" s="1" t="s">
        <v>239</v>
      </c>
    </row>
    <row r="12" spans="1:15" x14ac:dyDescent="0.3">
      <c r="C12" s="168" t="s">
        <v>19</v>
      </c>
      <c r="D12" s="164">
        <f>-PV(D7,D3,D13,D4)</f>
        <v>967.91171149420506</v>
      </c>
      <c r="E12" s="40"/>
      <c r="G12" s="168" t="s">
        <v>19</v>
      </c>
      <c r="H12" s="165">
        <f>-PV(H7/$H$6,H3*$H$6,H13/2,H4)</f>
        <v>967.4801588713658</v>
      </c>
      <c r="I12" s="40"/>
      <c r="M12" s="1" t="s">
        <v>53</v>
      </c>
      <c r="N12" s="1" t="s">
        <v>240</v>
      </c>
    </row>
    <row r="13" spans="1:15" x14ac:dyDescent="0.3">
      <c r="A13" s="1" t="s">
        <v>222</v>
      </c>
      <c r="B13" s="1" t="s">
        <v>172</v>
      </c>
      <c r="C13" s="38" t="s">
        <v>7</v>
      </c>
      <c r="D13" s="47">
        <f>D5*D4</f>
        <v>85</v>
      </c>
      <c r="E13" s="40"/>
      <c r="G13" s="38" t="s">
        <v>7</v>
      </c>
      <c r="H13" s="47">
        <f>H5*H4</f>
        <v>85</v>
      </c>
      <c r="I13" s="40"/>
    </row>
    <row r="14" spans="1:15" x14ac:dyDescent="0.3">
      <c r="C14" s="48"/>
      <c r="E14" s="40"/>
      <c r="G14" s="48"/>
      <c r="I14" s="40"/>
    </row>
    <row r="15" spans="1:15" x14ac:dyDescent="0.3">
      <c r="C15" s="49" t="s">
        <v>23</v>
      </c>
      <c r="D15" s="50" t="s">
        <v>24</v>
      </c>
      <c r="E15" s="167" t="s">
        <v>40</v>
      </c>
      <c r="G15" s="49" t="s">
        <v>23</v>
      </c>
      <c r="H15" s="50" t="s">
        <v>24</v>
      </c>
      <c r="I15" s="167" t="s">
        <v>40</v>
      </c>
      <c r="M15" s="1" t="s">
        <v>246</v>
      </c>
      <c r="N15" s="1" t="s">
        <v>242</v>
      </c>
    </row>
    <row r="16" spans="1:15" x14ac:dyDescent="0.3">
      <c r="A16" s="1" t="s">
        <v>177</v>
      </c>
      <c r="C16" s="166">
        <v>1</v>
      </c>
      <c r="D16" s="52">
        <f>$D$13</f>
        <v>85</v>
      </c>
      <c r="E16" s="53">
        <f>$D16*(1+$D$9)^($D$8-$C16)</f>
        <v>119.98443685000002</v>
      </c>
      <c r="G16" s="166">
        <v>1</v>
      </c>
      <c r="H16" s="52">
        <f>$H$13/$H$6</f>
        <v>42.5</v>
      </c>
      <c r="I16" s="53">
        <f>$H$16*(1+$N$7)^($G$25-G16)</f>
        <v>63.159043467605805</v>
      </c>
      <c r="N16" s="1" t="s">
        <v>243</v>
      </c>
      <c r="O16" s="1" t="s">
        <v>244</v>
      </c>
    </row>
    <row r="17" spans="3:15" x14ac:dyDescent="0.3">
      <c r="C17" s="51">
        <f>1+C16</f>
        <v>2</v>
      </c>
      <c r="D17" s="52">
        <f>$D$13</f>
        <v>85</v>
      </c>
      <c r="E17" s="53">
        <f>$D17*(1+$D$9)^($D$8-$C17)</f>
        <v>110.07746500000002</v>
      </c>
      <c r="G17" s="51">
        <f t="shared" ref="G17:G25" si="0">1+G16</f>
        <v>2</v>
      </c>
      <c r="H17" s="52">
        <f t="shared" ref="H17:H25" si="1">$H$13/$H$6</f>
        <v>42.5</v>
      </c>
      <c r="I17" s="53">
        <f t="shared" ref="I17:I25" si="2">$H$16*(1+$N$7)^($G$25-G17)</f>
        <v>60.439276045555793</v>
      </c>
      <c r="N17" s="1" t="s">
        <v>85</v>
      </c>
      <c r="O17" s="1" t="s">
        <v>245</v>
      </c>
    </row>
    <row r="18" spans="3:15" x14ac:dyDescent="0.3">
      <c r="C18" s="51">
        <f>1+C17</f>
        <v>3</v>
      </c>
      <c r="D18" s="52">
        <f>$D$13</f>
        <v>85</v>
      </c>
      <c r="E18" s="53">
        <f>$D18*(1+$D$9)^($D$8-$C18)</f>
        <v>100.98850000000002</v>
      </c>
      <c r="G18" s="51">
        <f t="shared" si="0"/>
        <v>3</v>
      </c>
      <c r="H18" s="52">
        <f t="shared" si="1"/>
        <v>42.5</v>
      </c>
      <c r="I18" s="53">
        <f t="shared" si="2"/>
        <v>57.836627794790253</v>
      </c>
    </row>
    <row r="19" spans="3:15" x14ac:dyDescent="0.3">
      <c r="C19" s="51">
        <f>1+C18</f>
        <v>4</v>
      </c>
      <c r="D19" s="52">
        <f>$D$13</f>
        <v>85</v>
      </c>
      <c r="E19" s="53">
        <v>0</v>
      </c>
      <c r="G19" s="51">
        <f t="shared" si="0"/>
        <v>4</v>
      </c>
      <c r="H19" s="52">
        <f t="shared" si="1"/>
        <v>42.5</v>
      </c>
      <c r="I19" s="53">
        <f t="shared" si="2"/>
        <v>55.346055306019373</v>
      </c>
    </row>
    <row r="20" spans="3:15" x14ac:dyDescent="0.3">
      <c r="C20" s="51">
        <f>1+C19</f>
        <v>5</v>
      </c>
      <c r="D20" s="52">
        <f>$D$13</f>
        <v>85</v>
      </c>
      <c r="E20" s="53">
        <f>$D20*(1+$D$9)^($D$8-$C20)</f>
        <v>85</v>
      </c>
      <c r="G20" s="51">
        <f t="shared" si="0"/>
        <v>5</v>
      </c>
      <c r="H20" s="52">
        <f t="shared" si="1"/>
        <v>42.5</v>
      </c>
      <c r="I20" s="53">
        <f t="shared" si="2"/>
        <v>52.962732350257788</v>
      </c>
    </row>
    <row r="21" spans="3:15" x14ac:dyDescent="0.3">
      <c r="C21" s="51"/>
      <c r="D21" s="52"/>
      <c r="E21" s="53"/>
      <c r="G21" s="51">
        <f t="shared" si="0"/>
        <v>6</v>
      </c>
      <c r="H21" s="52">
        <f t="shared" si="1"/>
        <v>42.5</v>
      </c>
      <c r="I21" s="53">
        <f t="shared" si="2"/>
        <v>50.682040526562481</v>
      </c>
    </row>
    <row r="22" spans="3:15" x14ac:dyDescent="0.3">
      <c r="C22" s="51"/>
      <c r="D22" s="52"/>
      <c r="E22" s="53"/>
      <c r="G22" s="51">
        <f t="shared" si="0"/>
        <v>7</v>
      </c>
      <c r="H22" s="52">
        <f t="shared" si="1"/>
        <v>42.5</v>
      </c>
      <c r="I22" s="53">
        <f t="shared" si="2"/>
        <v>48.499560312499995</v>
      </c>
    </row>
    <row r="23" spans="3:15" x14ac:dyDescent="0.3">
      <c r="C23" s="51"/>
      <c r="D23" s="52"/>
      <c r="E23" s="53"/>
      <c r="G23" s="51">
        <f t="shared" si="0"/>
        <v>8</v>
      </c>
      <c r="H23" s="52">
        <f t="shared" si="1"/>
        <v>42.5</v>
      </c>
      <c r="I23" s="53">
        <f t="shared" si="2"/>
        <v>46.411062499999993</v>
      </c>
    </row>
    <row r="24" spans="3:15" x14ac:dyDescent="0.3">
      <c r="C24" s="51"/>
      <c r="D24" s="52"/>
      <c r="E24" s="53"/>
      <c r="G24" s="51">
        <f t="shared" si="0"/>
        <v>9</v>
      </c>
      <c r="H24" s="52">
        <f t="shared" si="1"/>
        <v>42.5</v>
      </c>
      <c r="I24" s="53">
        <f t="shared" si="2"/>
        <v>44.412499999999994</v>
      </c>
    </row>
    <row r="25" spans="3:15" ht="17.399999999999999" x14ac:dyDescent="0.45">
      <c r="C25" s="51"/>
      <c r="D25" s="52"/>
      <c r="E25" s="54"/>
      <c r="G25" s="51">
        <f t="shared" si="0"/>
        <v>10</v>
      </c>
      <c r="H25" s="52">
        <f t="shared" si="1"/>
        <v>42.5</v>
      </c>
      <c r="I25" s="53">
        <f t="shared" si="2"/>
        <v>42.5</v>
      </c>
    </row>
    <row r="26" spans="3:15" x14ac:dyDescent="0.3">
      <c r="C26" s="51"/>
      <c r="D26" s="56" t="s">
        <v>41</v>
      </c>
      <c r="E26" s="57">
        <f>SUM(E16:E20)</f>
        <v>416.05040185000007</v>
      </c>
      <c r="G26" s="49"/>
      <c r="H26" s="56" t="s">
        <v>41</v>
      </c>
      <c r="I26" s="57">
        <f>SUM(I16:I25)</f>
        <v>522.24889830329153</v>
      </c>
      <c r="J26" s="1" t="s">
        <v>247</v>
      </c>
    </row>
    <row r="27" spans="3:15" ht="17.399999999999999" x14ac:dyDescent="0.45">
      <c r="C27" s="51"/>
      <c r="D27" s="58" t="s">
        <v>42</v>
      </c>
      <c r="E27" s="59">
        <f>-PV($D$10,($D$3-$D$8),$D$13,$D$4)</f>
        <v>980.55174368324151</v>
      </c>
      <c r="G27" s="49"/>
      <c r="H27" s="58" t="s">
        <v>42</v>
      </c>
      <c r="I27" s="60">
        <f>-PV($H$10/$H$6,($H$3-$H$8)*$H$6,$H$13/$H$6,$H$4)</f>
        <v>980.21820455722457</v>
      </c>
      <c r="J27" s="1" t="s">
        <v>248</v>
      </c>
    </row>
    <row r="28" spans="3:15" x14ac:dyDescent="0.3">
      <c r="C28" s="51"/>
      <c r="D28" s="56" t="s">
        <v>43</v>
      </c>
      <c r="E28" s="57">
        <f>E26+E27</f>
        <v>1396.6021455332416</v>
      </c>
      <c r="G28" s="51"/>
      <c r="H28" s="56" t="s">
        <v>43</v>
      </c>
      <c r="I28" s="57">
        <f>I26+I27</f>
        <v>1502.4671028605162</v>
      </c>
      <c r="J28" s="1" t="s">
        <v>249</v>
      </c>
    </row>
    <row r="29" spans="3:15" x14ac:dyDescent="0.3">
      <c r="C29" s="51"/>
      <c r="D29" s="58" t="s">
        <v>44</v>
      </c>
      <c r="E29" s="61">
        <f>RATE($D$8,0,-$D$12,E$28)</f>
        <v>7.6087017921903075E-2</v>
      </c>
      <c r="G29" s="51"/>
      <c r="H29" s="58" t="s">
        <v>44</v>
      </c>
      <c r="I29" s="61">
        <f>RATE($H$8*$H$6,0,-$H$12,I$28)*$H$6</f>
        <v>9.0000000000004937E-2</v>
      </c>
      <c r="J29" s="1" t="s">
        <v>231</v>
      </c>
    </row>
    <row r="30" spans="3:15" x14ac:dyDescent="0.3">
      <c r="C30" s="51"/>
      <c r="D30" s="52"/>
      <c r="E30" s="53"/>
      <c r="G30" s="51"/>
      <c r="H30" s="52"/>
      <c r="I30" s="53"/>
    </row>
    <row r="31" spans="3:15" x14ac:dyDescent="0.3">
      <c r="C31" s="51"/>
      <c r="D31" s="52"/>
      <c r="E31" s="53"/>
      <c r="G31" s="51"/>
      <c r="H31" s="52"/>
      <c r="I31" s="53"/>
    </row>
    <row r="32" spans="3:15" x14ac:dyDescent="0.3">
      <c r="C32" s="51"/>
      <c r="D32" s="2" t="s">
        <v>45</v>
      </c>
      <c r="E32" s="62">
        <f>($D$13)*(1/($D$9))*((1+$D$9)^($D$8)-1)</f>
        <v>508.70040185000045</v>
      </c>
      <c r="G32" s="51"/>
      <c r="H32" s="2" t="s">
        <v>45</v>
      </c>
      <c r="I32" s="62">
        <f>($H$13/$H$6)*(1/($H$9/$H$6))*((1+$H$9/$H$6)^($H$8*$H$6)-1)</f>
        <v>522.24889830329005</v>
      </c>
    </row>
    <row r="33" spans="3:10" ht="17.399999999999999" x14ac:dyDescent="0.45">
      <c r="C33" s="48"/>
      <c r="D33" s="2" t="s">
        <v>46</v>
      </c>
      <c r="E33" s="55">
        <f>SUM(D16:D20)</f>
        <v>425</v>
      </c>
      <c r="G33" s="51"/>
      <c r="H33" s="2" t="s">
        <v>46</v>
      </c>
      <c r="I33" s="55">
        <f>SUM(H16:H25)</f>
        <v>425</v>
      </c>
    </row>
    <row r="34" spans="3:10" x14ac:dyDescent="0.3">
      <c r="C34" s="48"/>
      <c r="D34" s="2" t="s">
        <v>47</v>
      </c>
      <c r="E34" s="62">
        <f>E32-E33</f>
        <v>83.700401850000446</v>
      </c>
      <c r="G34" s="51"/>
      <c r="H34" s="2" t="s">
        <v>47</v>
      </c>
      <c r="I34" s="62">
        <f>I32-I33</f>
        <v>97.248898303290048</v>
      </c>
    </row>
    <row r="35" spans="3:10" ht="16.2" thickBot="1" x14ac:dyDescent="0.35">
      <c r="C35" s="63"/>
      <c r="D35" s="64" t="s">
        <v>48</v>
      </c>
      <c r="E35" s="65">
        <f>E27-D12</f>
        <v>12.640032189036447</v>
      </c>
      <c r="G35" s="63"/>
      <c r="H35" s="64" t="s">
        <v>48</v>
      </c>
      <c r="I35" s="65">
        <f>I27-H12</f>
        <v>12.738045685858765</v>
      </c>
      <c r="J35" s="1" t="s">
        <v>250</v>
      </c>
    </row>
    <row r="37" spans="3:10" x14ac:dyDescent="0.3">
      <c r="E37" s="66"/>
    </row>
  </sheetData>
  <mergeCells count="2">
    <mergeCell ref="C2:E2"/>
    <mergeCell ref="G2:I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C07C6-70AE-449A-BEFD-80DC7A6C598C}">
  <dimension ref="B3:K25"/>
  <sheetViews>
    <sheetView topLeftCell="B1" zoomScale="86" workbookViewId="0">
      <selection activeCell="F10" sqref="F10"/>
    </sheetView>
  </sheetViews>
  <sheetFormatPr defaultRowHeight="13.8" x14ac:dyDescent="0.25"/>
  <cols>
    <col min="1" max="1" width="8.88671875" style="3"/>
    <col min="2" max="2" width="36.5546875" style="3" bestFit="1" customWidth="1"/>
    <col min="3" max="3" width="11.44140625" style="3" customWidth="1"/>
    <col min="4" max="4" width="12.6640625" style="3" bestFit="1" customWidth="1"/>
    <col min="5" max="6" width="11" style="3" bestFit="1" customWidth="1"/>
    <col min="7" max="7" width="3.6640625" style="3" customWidth="1"/>
    <col min="8" max="8" width="9.6640625" style="3" customWidth="1"/>
    <col min="9" max="9" width="9.88671875" style="3" bestFit="1" customWidth="1"/>
    <col min="10" max="10" width="10.33203125" style="3" customWidth="1"/>
    <col min="11" max="11" width="10.109375" style="3" customWidth="1"/>
    <col min="12" max="255" width="8.88671875" style="3"/>
    <col min="256" max="256" width="8" style="3" customWidth="1"/>
    <col min="257" max="257" width="11.44140625" style="3" customWidth="1"/>
    <col min="258" max="260" width="8.88671875" style="3"/>
    <col min="261" max="261" width="3.6640625" style="3" customWidth="1"/>
    <col min="262" max="262" width="7.5546875" style="3" customWidth="1"/>
    <col min="263" max="263" width="8.88671875" style="3"/>
    <col min="264" max="264" width="4.33203125" style="3" customWidth="1"/>
    <col min="265" max="265" width="7.88671875" style="3" customWidth="1"/>
    <col min="266" max="266" width="9.5546875" style="3" customWidth="1"/>
    <col min="267" max="267" width="8.6640625" style="3" customWidth="1"/>
    <col min="268" max="511" width="8.88671875" style="3"/>
    <col min="512" max="512" width="8" style="3" customWidth="1"/>
    <col min="513" max="513" width="11.44140625" style="3" customWidth="1"/>
    <col min="514" max="516" width="8.88671875" style="3"/>
    <col min="517" max="517" width="3.6640625" style="3" customWidth="1"/>
    <col min="518" max="518" width="7.5546875" style="3" customWidth="1"/>
    <col min="519" max="519" width="8.88671875" style="3"/>
    <col min="520" max="520" width="4.33203125" style="3" customWidth="1"/>
    <col min="521" max="521" width="7.88671875" style="3" customWidth="1"/>
    <col min="522" max="522" width="9.5546875" style="3" customWidth="1"/>
    <col min="523" max="523" width="8.6640625" style="3" customWidth="1"/>
    <col min="524" max="767" width="8.88671875" style="3"/>
    <col min="768" max="768" width="8" style="3" customWidth="1"/>
    <col min="769" max="769" width="11.44140625" style="3" customWidth="1"/>
    <col min="770" max="772" width="8.88671875" style="3"/>
    <col min="773" max="773" width="3.6640625" style="3" customWidth="1"/>
    <col min="774" max="774" width="7.5546875" style="3" customWidth="1"/>
    <col min="775" max="775" width="8.88671875" style="3"/>
    <col min="776" max="776" width="4.33203125" style="3" customWidth="1"/>
    <col min="777" max="777" width="7.88671875" style="3" customWidth="1"/>
    <col min="778" max="778" width="9.5546875" style="3" customWidth="1"/>
    <col min="779" max="779" width="8.6640625" style="3" customWidth="1"/>
    <col min="780" max="1023" width="8.88671875" style="3"/>
    <col min="1024" max="1024" width="8" style="3" customWidth="1"/>
    <col min="1025" max="1025" width="11.44140625" style="3" customWidth="1"/>
    <col min="1026" max="1028" width="8.88671875" style="3"/>
    <col min="1029" max="1029" width="3.6640625" style="3" customWidth="1"/>
    <col min="1030" max="1030" width="7.5546875" style="3" customWidth="1"/>
    <col min="1031" max="1031" width="8.88671875" style="3"/>
    <col min="1032" max="1032" width="4.33203125" style="3" customWidth="1"/>
    <col min="1033" max="1033" width="7.88671875" style="3" customWidth="1"/>
    <col min="1034" max="1034" width="9.5546875" style="3" customWidth="1"/>
    <col min="1035" max="1035" width="8.6640625" style="3" customWidth="1"/>
    <col min="1036" max="1279" width="8.88671875" style="3"/>
    <col min="1280" max="1280" width="8" style="3" customWidth="1"/>
    <col min="1281" max="1281" width="11.44140625" style="3" customWidth="1"/>
    <col min="1282" max="1284" width="8.88671875" style="3"/>
    <col min="1285" max="1285" width="3.6640625" style="3" customWidth="1"/>
    <col min="1286" max="1286" width="7.5546875" style="3" customWidth="1"/>
    <col min="1287" max="1287" width="8.88671875" style="3"/>
    <col min="1288" max="1288" width="4.33203125" style="3" customWidth="1"/>
    <col min="1289" max="1289" width="7.88671875" style="3" customWidth="1"/>
    <col min="1290" max="1290" width="9.5546875" style="3" customWidth="1"/>
    <col min="1291" max="1291" width="8.6640625" style="3" customWidth="1"/>
    <col min="1292" max="1535" width="8.88671875" style="3"/>
    <col min="1536" max="1536" width="8" style="3" customWidth="1"/>
    <col min="1537" max="1537" width="11.44140625" style="3" customWidth="1"/>
    <col min="1538" max="1540" width="8.88671875" style="3"/>
    <col min="1541" max="1541" width="3.6640625" style="3" customWidth="1"/>
    <col min="1542" max="1542" width="7.5546875" style="3" customWidth="1"/>
    <col min="1543" max="1543" width="8.88671875" style="3"/>
    <col min="1544" max="1544" width="4.33203125" style="3" customWidth="1"/>
    <col min="1545" max="1545" width="7.88671875" style="3" customWidth="1"/>
    <col min="1546" max="1546" width="9.5546875" style="3" customWidth="1"/>
    <col min="1547" max="1547" width="8.6640625" style="3" customWidth="1"/>
    <col min="1548" max="1791" width="8.88671875" style="3"/>
    <col min="1792" max="1792" width="8" style="3" customWidth="1"/>
    <col min="1793" max="1793" width="11.44140625" style="3" customWidth="1"/>
    <col min="1794" max="1796" width="8.88671875" style="3"/>
    <col min="1797" max="1797" width="3.6640625" style="3" customWidth="1"/>
    <col min="1798" max="1798" width="7.5546875" style="3" customWidth="1"/>
    <col min="1799" max="1799" width="8.88671875" style="3"/>
    <col min="1800" max="1800" width="4.33203125" style="3" customWidth="1"/>
    <col min="1801" max="1801" width="7.88671875" style="3" customWidth="1"/>
    <col min="1802" max="1802" width="9.5546875" style="3" customWidth="1"/>
    <col min="1803" max="1803" width="8.6640625" style="3" customWidth="1"/>
    <col min="1804" max="2047" width="8.88671875" style="3"/>
    <col min="2048" max="2048" width="8" style="3" customWidth="1"/>
    <col min="2049" max="2049" width="11.44140625" style="3" customWidth="1"/>
    <col min="2050" max="2052" width="8.88671875" style="3"/>
    <col min="2053" max="2053" width="3.6640625" style="3" customWidth="1"/>
    <col min="2054" max="2054" width="7.5546875" style="3" customWidth="1"/>
    <col min="2055" max="2055" width="8.88671875" style="3"/>
    <col min="2056" max="2056" width="4.33203125" style="3" customWidth="1"/>
    <col min="2057" max="2057" width="7.88671875" style="3" customWidth="1"/>
    <col min="2058" max="2058" width="9.5546875" style="3" customWidth="1"/>
    <col min="2059" max="2059" width="8.6640625" style="3" customWidth="1"/>
    <col min="2060" max="2303" width="8.88671875" style="3"/>
    <col min="2304" max="2304" width="8" style="3" customWidth="1"/>
    <col min="2305" max="2305" width="11.44140625" style="3" customWidth="1"/>
    <col min="2306" max="2308" width="8.88671875" style="3"/>
    <col min="2309" max="2309" width="3.6640625" style="3" customWidth="1"/>
    <col min="2310" max="2310" width="7.5546875" style="3" customWidth="1"/>
    <col min="2311" max="2311" width="8.88671875" style="3"/>
    <col min="2312" max="2312" width="4.33203125" style="3" customWidth="1"/>
    <col min="2313" max="2313" width="7.88671875" style="3" customWidth="1"/>
    <col min="2314" max="2314" width="9.5546875" style="3" customWidth="1"/>
    <col min="2315" max="2315" width="8.6640625" style="3" customWidth="1"/>
    <col min="2316" max="2559" width="8.88671875" style="3"/>
    <col min="2560" max="2560" width="8" style="3" customWidth="1"/>
    <col min="2561" max="2561" width="11.44140625" style="3" customWidth="1"/>
    <col min="2562" max="2564" width="8.88671875" style="3"/>
    <col min="2565" max="2565" width="3.6640625" style="3" customWidth="1"/>
    <col min="2566" max="2566" width="7.5546875" style="3" customWidth="1"/>
    <col min="2567" max="2567" width="8.88671875" style="3"/>
    <col min="2568" max="2568" width="4.33203125" style="3" customWidth="1"/>
    <col min="2569" max="2569" width="7.88671875" style="3" customWidth="1"/>
    <col min="2570" max="2570" width="9.5546875" style="3" customWidth="1"/>
    <col min="2571" max="2571" width="8.6640625" style="3" customWidth="1"/>
    <col min="2572" max="2815" width="8.88671875" style="3"/>
    <col min="2816" max="2816" width="8" style="3" customWidth="1"/>
    <col min="2817" max="2817" width="11.44140625" style="3" customWidth="1"/>
    <col min="2818" max="2820" width="8.88671875" style="3"/>
    <col min="2821" max="2821" width="3.6640625" style="3" customWidth="1"/>
    <col min="2822" max="2822" width="7.5546875" style="3" customWidth="1"/>
    <col min="2823" max="2823" width="8.88671875" style="3"/>
    <col min="2824" max="2824" width="4.33203125" style="3" customWidth="1"/>
    <col min="2825" max="2825" width="7.88671875" style="3" customWidth="1"/>
    <col min="2826" max="2826" width="9.5546875" style="3" customWidth="1"/>
    <col min="2827" max="2827" width="8.6640625" style="3" customWidth="1"/>
    <col min="2828" max="3071" width="8.88671875" style="3"/>
    <col min="3072" max="3072" width="8" style="3" customWidth="1"/>
    <col min="3073" max="3073" width="11.44140625" style="3" customWidth="1"/>
    <col min="3074" max="3076" width="8.88671875" style="3"/>
    <col min="3077" max="3077" width="3.6640625" style="3" customWidth="1"/>
    <col min="3078" max="3078" width="7.5546875" style="3" customWidth="1"/>
    <col min="3079" max="3079" width="8.88671875" style="3"/>
    <col min="3080" max="3080" width="4.33203125" style="3" customWidth="1"/>
    <col min="3081" max="3081" width="7.88671875" style="3" customWidth="1"/>
    <col min="3082" max="3082" width="9.5546875" style="3" customWidth="1"/>
    <col min="3083" max="3083" width="8.6640625" style="3" customWidth="1"/>
    <col min="3084" max="3327" width="8.88671875" style="3"/>
    <col min="3328" max="3328" width="8" style="3" customWidth="1"/>
    <col min="3329" max="3329" width="11.44140625" style="3" customWidth="1"/>
    <col min="3330" max="3332" width="8.88671875" style="3"/>
    <col min="3333" max="3333" width="3.6640625" style="3" customWidth="1"/>
    <col min="3334" max="3334" width="7.5546875" style="3" customWidth="1"/>
    <col min="3335" max="3335" width="8.88671875" style="3"/>
    <col min="3336" max="3336" width="4.33203125" style="3" customWidth="1"/>
    <col min="3337" max="3337" width="7.88671875" style="3" customWidth="1"/>
    <col min="3338" max="3338" width="9.5546875" style="3" customWidth="1"/>
    <col min="3339" max="3339" width="8.6640625" style="3" customWidth="1"/>
    <col min="3340" max="3583" width="8.88671875" style="3"/>
    <col min="3584" max="3584" width="8" style="3" customWidth="1"/>
    <col min="3585" max="3585" width="11.44140625" style="3" customWidth="1"/>
    <col min="3586" max="3588" width="8.88671875" style="3"/>
    <col min="3589" max="3589" width="3.6640625" style="3" customWidth="1"/>
    <col min="3590" max="3590" width="7.5546875" style="3" customWidth="1"/>
    <col min="3591" max="3591" width="8.88671875" style="3"/>
    <col min="3592" max="3592" width="4.33203125" style="3" customWidth="1"/>
    <col min="3593" max="3593" width="7.88671875" style="3" customWidth="1"/>
    <col min="3594" max="3594" width="9.5546875" style="3" customWidth="1"/>
    <col min="3595" max="3595" width="8.6640625" style="3" customWidth="1"/>
    <col min="3596" max="3839" width="8.88671875" style="3"/>
    <col min="3840" max="3840" width="8" style="3" customWidth="1"/>
    <col min="3841" max="3841" width="11.44140625" style="3" customWidth="1"/>
    <col min="3842" max="3844" width="8.88671875" style="3"/>
    <col min="3845" max="3845" width="3.6640625" style="3" customWidth="1"/>
    <col min="3846" max="3846" width="7.5546875" style="3" customWidth="1"/>
    <col min="3847" max="3847" width="8.88671875" style="3"/>
    <col min="3848" max="3848" width="4.33203125" style="3" customWidth="1"/>
    <col min="3849" max="3849" width="7.88671875" style="3" customWidth="1"/>
    <col min="3850" max="3850" width="9.5546875" style="3" customWidth="1"/>
    <col min="3851" max="3851" width="8.6640625" style="3" customWidth="1"/>
    <col min="3852" max="4095" width="8.88671875" style="3"/>
    <col min="4096" max="4096" width="8" style="3" customWidth="1"/>
    <col min="4097" max="4097" width="11.44140625" style="3" customWidth="1"/>
    <col min="4098" max="4100" width="8.88671875" style="3"/>
    <col min="4101" max="4101" width="3.6640625" style="3" customWidth="1"/>
    <col min="4102" max="4102" width="7.5546875" style="3" customWidth="1"/>
    <col min="4103" max="4103" width="8.88671875" style="3"/>
    <col min="4104" max="4104" width="4.33203125" style="3" customWidth="1"/>
    <col min="4105" max="4105" width="7.88671875" style="3" customWidth="1"/>
    <col min="4106" max="4106" width="9.5546875" style="3" customWidth="1"/>
    <col min="4107" max="4107" width="8.6640625" style="3" customWidth="1"/>
    <col min="4108" max="4351" width="8.88671875" style="3"/>
    <col min="4352" max="4352" width="8" style="3" customWidth="1"/>
    <col min="4353" max="4353" width="11.44140625" style="3" customWidth="1"/>
    <col min="4354" max="4356" width="8.88671875" style="3"/>
    <col min="4357" max="4357" width="3.6640625" style="3" customWidth="1"/>
    <col min="4358" max="4358" width="7.5546875" style="3" customWidth="1"/>
    <col min="4359" max="4359" width="8.88671875" style="3"/>
    <col min="4360" max="4360" width="4.33203125" style="3" customWidth="1"/>
    <col min="4361" max="4361" width="7.88671875" style="3" customWidth="1"/>
    <col min="4362" max="4362" width="9.5546875" style="3" customWidth="1"/>
    <col min="4363" max="4363" width="8.6640625" style="3" customWidth="1"/>
    <col min="4364" max="4607" width="8.88671875" style="3"/>
    <col min="4608" max="4608" width="8" style="3" customWidth="1"/>
    <col min="4609" max="4609" width="11.44140625" style="3" customWidth="1"/>
    <col min="4610" max="4612" width="8.88671875" style="3"/>
    <col min="4613" max="4613" width="3.6640625" style="3" customWidth="1"/>
    <col min="4614" max="4614" width="7.5546875" style="3" customWidth="1"/>
    <col min="4615" max="4615" width="8.88671875" style="3"/>
    <col min="4616" max="4616" width="4.33203125" style="3" customWidth="1"/>
    <col min="4617" max="4617" width="7.88671875" style="3" customWidth="1"/>
    <col min="4618" max="4618" width="9.5546875" style="3" customWidth="1"/>
    <col min="4619" max="4619" width="8.6640625" style="3" customWidth="1"/>
    <col min="4620" max="4863" width="8.88671875" style="3"/>
    <col min="4864" max="4864" width="8" style="3" customWidth="1"/>
    <col min="4865" max="4865" width="11.44140625" style="3" customWidth="1"/>
    <col min="4866" max="4868" width="8.88671875" style="3"/>
    <col min="4869" max="4869" width="3.6640625" style="3" customWidth="1"/>
    <col min="4870" max="4870" width="7.5546875" style="3" customWidth="1"/>
    <col min="4871" max="4871" width="8.88671875" style="3"/>
    <col min="4872" max="4872" width="4.33203125" style="3" customWidth="1"/>
    <col min="4873" max="4873" width="7.88671875" style="3" customWidth="1"/>
    <col min="4874" max="4874" width="9.5546875" style="3" customWidth="1"/>
    <col min="4875" max="4875" width="8.6640625" style="3" customWidth="1"/>
    <col min="4876" max="5119" width="8.88671875" style="3"/>
    <col min="5120" max="5120" width="8" style="3" customWidth="1"/>
    <col min="5121" max="5121" width="11.44140625" style="3" customWidth="1"/>
    <col min="5122" max="5124" width="8.88671875" style="3"/>
    <col min="5125" max="5125" width="3.6640625" style="3" customWidth="1"/>
    <col min="5126" max="5126" width="7.5546875" style="3" customWidth="1"/>
    <col min="5127" max="5127" width="8.88671875" style="3"/>
    <col min="5128" max="5128" width="4.33203125" style="3" customWidth="1"/>
    <col min="5129" max="5129" width="7.88671875" style="3" customWidth="1"/>
    <col min="5130" max="5130" width="9.5546875" style="3" customWidth="1"/>
    <col min="5131" max="5131" width="8.6640625" style="3" customWidth="1"/>
    <col min="5132" max="5375" width="8.88671875" style="3"/>
    <col min="5376" max="5376" width="8" style="3" customWidth="1"/>
    <col min="5377" max="5377" width="11.44140625" style="3" customWidth="1"/>
    <col min="5378" max="5380" width="8.88671875" style="3"/>
    <col min="5381" max="5381" width="3.6640625" style="3" customWidth="1"/>
    <col min="5382" max="5382" width="7.5546875" style="3" customWidth="1"/>
    <col min="5383" max="5383" width="8.88671875" style="3"/>
    <col min="5384" max="5384" width="4.33203125" style="3" customWidth="1"/>
    <col min="5385" max="5385" width="7.88671875" style="3" customWidth="1"/>
    <col min="5386" max="5386" width="9.5546875" style="3" customWidth="1"/>
    <col min="5387" max="5387" width="8.6640625" style="3" customWidth="1"/>
    <col min="5388" max="5631" width="8.88671875" style="3"/>
    <col min="5632" max="5632" width="8" style="3" customWidth="1"/>
    <col min="5633" max="5633" width="11.44140625" style="3" customWidth="1"/>
    <col min="5634" max="5636" width="8.88671875" style="3"/>
    <col min="5637" max="5637" width="3.6640625" style="3" customWidth="1"/>
    <col min="5638" max="5638" width="7.5546875" style="3" customWidth="1"/>
    <col min="5639" max="5639" width="8.88671875" style="3"/>
    <col min="5640" max="5640" width="4.33203125" style="3" customWidth="1"/>
    <col min="5641" max="5641" width="7.88671875" style="3" customWidth="1"/>
    <col min="5642" max="5642" width="9.5546875" style="3" customWidth="1"/>
    <col min="5643" max="5643" width="8.6640625" style="3" customWidth="1"/>
    <col min="5644" max="5887" width="8.88671875" style="3"/>
    <col min="5888" max="5888" width="8" style="3" customWidth="1"/>
    <col min="5889" max="5889" width="11.44140625" style="3" customWidth="1"/>
    <col min="5890" max="5892" width="8.88671875" style="3"/>
    <col min="5893" max="5893" width="3.6640625" style="3" customWidth="1"/>
    <col min="5894" max="5894" width="7.5546875" style="3" customWidth="1"/>
    <col min="5895" max="5895" width="8.88671875" style="3"/>
    <col min="5896" max="5896" width="4.33203125" style="3" customWidth="1"/>
    <col min="5897" max="5897" width="7.88671875" style="3" customWidth="1"/>
    <col min="5898" max="5898" width="9.5546875" style="3" customWidth="1"/>
    <col min="5899" max="5899" width="8.6640625" style="3" customWidth="1"/>
    <col min="5900" max="6143" width="8.88671875" style="3"/>
    <col min="6144" max="6144" width="8" style="3" customWidth="1"/>
    <col min="6145" max="6145" width="11.44140625" style="3" customWidth="1"/>
    <col min="6146" max="6148" width="8.88671875" style="3"/>
    <col min="6149" max="6149" width="3.6640625" style="3" customWidth="1"/>
    <col min="6150" max="6150" width="7.5546875" style="3" customWidth="1"/>
    <col min="6151" max="6151" width="8.88671875" style="3"/>
    <col min="6152" max="6152" width="4.33203125" style="3" customWidth="1"/>
    <col min="6153" max="6153" width="7.88671875" style="3" customWidth="1"/>
    <col min="6154" max="6154" width="9.5546875" style="3" customWidth="1"/>
    <col min="6155" max="6155" width="8.6640625" style="3" customWidth="1"/>
    <col min="6156" max="6399" width="8.88671875" style="3"/>
    <col min="6400" max="6400" width="8" style="3" customWidth="1"/>
    <col min="6401" max="6401" width="11.44140625" style="3" customWidth="1"/>
    <col min="6402" max="6404" width="8.88671875" style="3"/>
    <col min="6405" max="6405" width="3.6640625" style="3" customWidth="1"/>
    <col min="6406" max="6406" width="7.5546875" style="3" customWidth="1"/>
    <col min="6407" max="6407" width="8.88671875" style="3"/>
    <col min="6408" max="6408" width="4.33203125" style="3" customWidth="1"/>
    <col min="6409" max="6409" width="7.88671875" style="3" customWidth="1"/>
    <col min="6410" max="6410" width="9.5546875" style="3" customWidth="1"/>
    <col min="6411" max="6411" width="8.6640625" style="3" customWidth="1"/>
    <col min="6412" max="6655" width="8.88671875" style="3"/>
    <col min="6656" max="6656" width="8" style="3" customWidth="1"/>
    <col min="6657" max="6657" width="11.44140625" style="3" customWidth="1"/>
    <col min="6658" max="6660" width="8.88671875" style="3"/>
    <col min="6661" max="6661" width="3.6640625" style="3" customWidth="1"/>
    <col min="6662" max="6662" width="7.5546875" style="3" customWidth="1"/>
    <col min="6663" max="6663" width="8.88671875" style="3"/>
    <col min="6664" max="6664" width="4.33203125" style="3" customWidth="1"/>
    <col min="6665" max="6665" width="7.88671875" style="3" customWidth="1"/>
    <col min="6666" max="6666" width="9.5546875" style="3" customWidth="1"/>
    <col min="6667" max="6667" width="8.6640625" style="3" customWidth="1"/>
    <col min="6668" max="6911" width="8.88671875" style="3"/>
    <col min="6912" max="6912" width="8" style="3" customWidth="1"/>
    <col min="6913" max="6913" width="11.44140625" style="3" customWidth="1"/>
    <col min="6914" max="6916" width="8.88671875" style="3"/>
    <col min="6917" max="6917" width="3.6640625" style="3" customWidth="1"/>
    <col min="6918" max="6918" width="7.5546875" style="3" customWidth="1"/>
    <col min="6919" max="6919" width="8.88671875" style="3"/>
    <col min="6920" max="6920" width="4.33203125" style="3" customWidth="1"/>
    <col min="6921" max="6921" width="7.88671875" style="3" customWidth="1"/>
    <col min="6922" max="6922" width="9.5546875" style="3" customWidth="1"/>
    <col min="6923" max="6923" width="8.6640625" style="3" customWidth="1"/>
    <col min="6924" max="7167" width="8.88671875" style="3"/>
    <col min="7168" max="7168" width="8" style="3" customWidth="1"/>
    <col min="7169" max="7169" width="11.44140625" style="3" customWidth="1"/>
    <col min="7170" max="7172" width="8.88671875" style="3"/>
    <col min="7173" max="7173" width="3.6640625" style="3" customWidth="1"/>
    <col min="7174" max="7174" width="7.5546875" style="3" customWidth="1"/>
    <col min="7175" max="7175" width="8.88671875" style="3"/>
    <col min="7176" max="7176" width="4.33203125" style="3" customWidth="1"/>
    <col min="7177" max="7177" width="7.88671875" style="3" customWidth="1"/>
    <col min="7178" max="7178" width="9.5546875" style="3" customWidth="1"/>
    <col min="7179" max="7179" width="8.6640625" style="3" customWidth="1"/>
    <col min="7180" max="7423" width="8.88671875" style="3"/>
    <col min="7424" max="7424" width="8" style="3" customWidth="1"/>
    <col min="7425" max="7425" width="11.44140625" style="3" customWidth="1"/>
    <col min="7426" max="7428" width="8.88671875" style="3"/>
    <col min="7429" max="7429" width="3.6640625" style="3" customWidth="1"/>
    <col min="7430" max="7430" width="7.5546875" style="3" customWidth="1"/>
    <col min="7431" max="7431" width="8.88671875" style="3"/>
    <col min="7432" max="7432" width="4.33203125" style="3" customWidth="1"/>
    <col min="7433" max="7433" width="7.88671875" style="3" customWidth="1"/>
    <col min="7434" max="7434" width="9.5546875" style="3" customWidth="1"/>
    <col min="7435" max="7435" width="8.6640625" style="3" customWidth="1"/>
    <col min="7436" max="7679" width="8.88671875" style="3"/>
    <col min="7680" max="7680" width="8" style="3" customWidth="1"/>
    <col min="7681" max="7681" width="11.44140625" style="3" customWidth="1"/>
    <col min="7682" max="7684" width="8.88671875" style="3"/>
    <col min="7685" max="7685" width="3.6640625" style="3" customWidth="1"/>
    <col min="7686" max="7686" width="7.5546875" style="3" customWidth="1"/>
    <col min="7687" max="7687" width="8.88671875" style="3"/>
    <col min="7688" max="7688" width="4.33203125" style="3" customWidth="1"/>
    <col min="7689" max="7689" width="7.88671875" style="3" customWidth="1"/>
    <col min="7690" max="7690" width="9.5546875" style="3" customWidth="1"/>
    <col min="7691" max="7691" width="8.6640625" style="3" customWidth="1"/>
    <col min="7692" max="7935" width="8.88671875" style="3"/>
    <col min="7936" max="7936" width="8" style="3" customWidth="1"/>
    <col min="7937" max="7937" width="11.44140625" style="3" customWidth="1"/>
    <col min="7938" max="7940" width="8.88671875" style="3"/>
    <col min="7941" max="7941" width="3.6640625" style="3" customWidth="1"/>
    <col min="7942" max="7942" width="7.5546875" style="3" customWidth="1"/>
    <col min="7943" max="7943" width="8.88671875" style="3"/>
    <col min="7944" max="7944" width="4.33203125" style="3" customWidth="1"/>
    <col min="7945" max="7945" width="7.88671875" style="3" customWidth="1"/>
    <col min="7946" max="7946" width="9.5546875" style="3" customWidth="1"/>
    <col min="7947" max="7947" width="8.6640625" style="3" customWidth="1"/>
    <col min="7948" max="8191" width="8.88671875" style="3"/>
    <col min="8192" max="8192" width="8" style="3" customWidth="1"/>
    <col min="8193" max="8193" width="11.44140625" style="3" customWidth="1"/>
    <col min="8194" max="8196" width="8.88671875" style="3"/>
    <col min="8197" max="8197" width="3.6640625" style="3" customWidth="1"/>
    <col min="8198" max="8198" width="7.5546875" style="3" customWidth="1"/>
    <col min="8199" max="8199" width="8.88671875" style="3"/>
    <col min="8200" max="8200" width="4.33203125" style="3" customWidth="1"/>
    <col min="8201" max="8201" width="7.88671875" style="3" customWidth="1"/>
    <col min="8202" max="8202" width="9.5546875" style="3" customWidth="1"/>
    <col min="8203" max="8203" width="8.6640625" style="3" customWidth="1"/>
    <col min="8204" max="8447" width="8.88671875" style="3"/>
    <col min="8448" max="8448" width="8" style="3" customWidth="1"/>
    <col min="8449" max="8449" width="11.44140625" style="3" customWidth="1"/>
    <col min="8450" max="8452" width="8.88671875" style="3"/>
    <col min="8453" max="8453" width="3.6640625" style="3" customWidth="1"/>
    <col min="8454" max="8454" width="7.5546875" style="3" customWidth="1"/>
    <col min="8455" max="8455" width="8.88671875" style="3"/>
    <col min="8456" max="8456" width="4.33203125" style="3" customWidth="1"/>
    <col min="8457" max="8457" width="7.88671875" style="3" customWidth="1"/>
    <col min="8458" max="8458" width="9.5546875" style="3" customWidth="1"/>
    <col min="8459" max="8459" width="8.6640625" style="3" customWidth="1"/>
    <col min="8460" max="8703" width="8.88671875" style="3"/>
    <col min="8704" max="8704" width="8" style="3" customWidth="1"/>
    <col min="8705" max="8705" width="11.44140625" style="3" customWidth="1"/>
    <col min="8706" max="8708" width="8.88671875" style="3"/>
    <col min="8709" max="8709" width="3.6640625" style="3" customWidth="1"/>
    <col min="8710" max="8710" width="7.5546875" style="3" customWidth="1"/>
    <col min="8711" max="8711" width="8.88671875" style="3"/>
    <col min="8712" max="8712" width="4.33203125" style="3" customWidth="1"/>
    <col min="8713" max="8713" width="7.88671875" style="3" customWidth="1"/>
    <col min="8714" max="8714" width="9.5546875" style="3" customWidth="1"/>
    <col min="8715" max="8715" width="8.6640625" style="3" customWidth="1"/>
    <col min="8716" max="8959" width="8.88671875" style="3"/>
    <col min="8960" max="8960" width="8" style="3" customWidth="1"/>
    <col min="8961" max="8961" width="11.44140625" style="3" customWidth="1"/>
    <col min="8962" max="8964" width="8.88671875" style="3"/>
    <col min="8965" max="8965" width="3.6640625" style="3" customWidth="1"/>
    <col min="8966" max="8966" width="7.5546875" style="3" customWidth="1"/>
    <col min="8967" max="8967" width="8.88671875" style="3"/>
    <col min="8968" max="8968" width="4.33203125" style="3" customWidth="1"/>
    <col min="8969" max="8969" width="7.88671875" style="3" customWidth="1"/>
    <col min="8970" max="8970" width="9.5546875" style="3" customWidth="1"/>
    <col min="8971" max="8971" width="8.6640625" style="3" customWidth="1"/>
    <col min="8972" max="9215" width="8.88671875" style="3"/>
    <col min="9216" max="9216" width="8" style="3" customWidth="1"/>
    <col min="9217" max="9217" width="11.44140625" style="3" customWidth="1"/>
    <col min="9218" max="9220" width="8.88671875" style="3"/>
    <col min="9221" max="9221" width="3.6640625" style="3" customWidth="1"/>
    <col min="9222" max="9222" width="7.5546875" style="3" customWidth="1"/>
    <col min="9223" max="9223" width="8.88671875" style="3"/>
    <col min="9224" max="9224" width="4.33203125" style="3" customWidth="1"/>
    <col min="9225" max="9225" width="7.88671875" style="3" customWidth="1"/>
    <col min="9226" max="9226" width="9.5546875" style="3" customWidth="1"/>
    <col min="9227" max="9227" width="8.6640625" style="3" customWidth="1"/>
    <col min="9228" max="9471" width="8.88671875" style="3"/>
    <col min="9472" max="9472" width="8" style="3" customWidth="1"/>
    <col min="9473" max="9473" width="11.44140625" style="3" customWidth="1"/>
    <col min="9474" max="9476" width="8.88671875" style="3"/>
    <col min="9477" max="9477" width="3.6640625" style="3" customWidth="1"/>
    <col min="9478" max="9478" width="7.5546875" style="3" customWidth="1"/>
    <col min="9479" max="9479" width="8.88671875" style="3"/>
    <col min="9480" max="9480" width="4.33203125" style="3" customWidth="1"/>
    <col min="9481" max="9481" width="7.88671875" style="3" customWidth="1"/>
    <col min="9482" max="9482" width="9.5546875" style="3" customWidth="1"/>
    <col min="9483" max="9483" width="8.6640625" style="3" customWidth="1"/>
    <col min="9484" max="9727" width="8.88671875" style="3"/>
    <col min="9728" max="9728" width="8" style="3" customWidth="1"/>
    <col min="9729" max="9729" width="11.44140625" style="3" customWidth="1"/>
    <col min="9730" max="9732" width="8.88671875" style="3"/>
    <col min="9733" max="9733" width="3.6640625" style="3" customWidth="1"/>
    <col min="9734" max="9734" width="7.5546875" style="3" customWidth="1"/>
    <col min="9735" max="9735" width="8.88671875" style="3"/>
    <col min="9736" max="9736" width="4.33203125" style="3" customWidth="1"/>
    <col min="9737" max="9737" width="7.88671875" style="3" customWidth="1"/>
    <col min="9738" max="9738" width="9.5546875" style="3" customWidth="1"/>
    <col min="9739" max="9739" width="8.6640625" style="3" customWidth="1"/>
    <col min="9740" max="9983" width="8.88671875" style="3"/>
    <col min="9984" max="9984" width="8" style="3" customWidth="1"/>
    <col min="9985" max="9985" width="11.44140625" style="3" customWidth="1"/>
    <col min="9986" max="9988" width="8.88671875" style="3"/>
    <col min="9989" max="9989" width="3.6640625" style="3" customWidth="1"/>
    <col min="9990" max="9990" width="7.5546875" style="3" customWidth="1"/>
    <col min="9991" max="9991" width="8.88671875" style="3"/>
    <col min="9992" max="9992" width="4.33203125" style="3" customWidth="1"/>
    <col min="9993" max="9993" width="7.88671875" style="3" customWidth="1"/>
    <col min="9994" max="9994" width="9.5546875" style="3" customWidth="1"/>
    <col min="9995" max="9995" width="8.6640625" style="3" customWidth="1"/>
    <col min="9996" max="10239" width="8.88671875" style="3"/>
    <col min="10240" max="10240" width="8" style="3" customWidth="1"/>
    <col min="10241" max="10241" width="11.44140625" style="3" customWidth="1"/>
    <col min="10242" max="10244" width="8.88671875" style="3"/>
    <col min="10245" max="10245" width="3.6640625" style="3" customWidth="1"/>
    <col min="10246" max="10246" width="7.5546875" style="3" customWidth="1"/>
    <col min="10247" max="10247" width="8.88671875" style="3"/>
    <col min="10248" max="10248" width="4.33203125" style="3" customWidth="1"/>
    <col min="10249" max="10249" width="7.88671875" style="3" customWidth="1"/>
    <col min="10250" max="10250" width="9.5546875" style="3" customWidth="1"/>
    <col min="10251" max="10251" width="8.6640625" style="3" customWidth="1"/>
    <col min="10252" max="10495" width="8.88671875" style="3"/>
    <col min="10496" max="10496" width="8" style="3" customWidth="1"/>
    <col min="10497" max="10497" width="11.44140625" style="3" customWidth="1"/>
    <col min="10498" max="10500" width="8.88671875" style="3"/>
    <col min="10501" max="10501" width="3.6640625" style="3" customWidth="1"/>
    <col min="10502" max="10502" width="7.5546875" style="3" customWidth="1"/>
    <col min="10503" max="10503" width="8.88671875" style="3"/>
    <col min="10504" max="10504" width="4.33203125" style="3" customWidth="1"/>
    <col min="10505" max="10505" width="7.88671875" style="3" customWidth="1"/>
    <col min="10506" max="10506" width="9.5546875" style="3" customWidth="1"/>
    <col min="10507" max="10507" width="8.6640625" style="3" customWidth="1"/>
    <col min="10508" max="10751" width="8.88671875" style="3"/>
    <col min="10752" max="10752" width="8" style="3" customWidth="1"/>
    <col min="10753" max="10753" width="11.44140625" style="3" customWidth="1"/>
    <col min="10754" max="10756" width="8.88671875" style="3"/>
    <col min="10757" max="10757" width="3.6640625" style="3" customWidth="1"/>
    <col min="10758" max="10758" width="7.5546875" style="3" customWidth="1"/>
    <col min="10759" max="10759" width="8.88671875" style="3"/>
    <col min="10760" max="10760" width="4.33203125" style="3" customWidth="1"/>
    <col min="10761" max="10761" width="7.88671875" style="3" customWidth="1"/>
    <col min="10762" max="10762" width="9.5546875" style="3" customWidth="1"/>
    <col min="10763" max="10763" width="8.6640625" style="3" customWidth="1"/>
    <col min="10764" max="11007" width="8.88671875" style="3"/>
    <col min="11008" max="11008" width="8" style="3" customWidth="1"/>
    <col min="11009" max="11009" width="11.44140625" style="3" customWidth="1"/>
    <col min="11010" max="11012" width="8.88671875" style="3"/>
    <col min="11013" max="11013" width="3.6640625" style="3" customWidth="1"/>
    <col min="11014" max="11014" width="7.5546875" style="3" customWidth="1"/>
    <col min="11015" max="11015" width="8.88671875" style="3"/>
    <col min="11016" max="11016" width="4.33203125" style="3" customWidth="1"/>
    <col min="11017" max="11017" width="7.88671875" style="3" customWidth="1"/>
    <col min="11018" max="11018" width="9.5546875" style="3" customWidth="1"/>
    <col min="11019" max="11019" width="8.6640625" style="3" customWidth="1"/>
    <col min="11020" max="11263" width="8.88671875" style="3"/>
    <col min="11264" max="11264" width="8" style="3" customWidth="1"/>
    <col min="11265" max="11265" width="11.44140625" style="3" customWidth="1"/>
    <col min="11266" max="11268" width="8.88671875" style="3"/>
    <col min="11269" max="11269" width="3.6640625" style="3" customWidth="1"/>
    <col min="11270" max="11270" width="7.5546875" style="3" customWidth="1"/>
    <col min="11271" max="11271" width="8.88671875" style="3"/>
    <col min="11272" max="11272" width="4.33203125" style="3" customWidth="1"/>
    <col min="11273" max="11273" width="7.88671875" style="3" customWidth="1"/>
    <col min="11274" max="11274" width="9.5546875" style="3" customWidth="1"/>
    <col min="11275" max="11275" width="8.6640625" style="3" customWidth="1"/>
    <col min="11276" max="11519" width="8.88671875" style="3"/>
    <col min="11520" max="11520" width="8" style="3" customWidth="1"/>
    <col min="11521" max="11521" width="11.44140625" style="3" customWidth="1"/>
    <col min="11522" max="11524" width="8.88671875" style="3"/>
    <col min="11525" max="11525" width="3.6640625" style="3" customWidth="1"/>
    <col min="11526" max="11526" width="7.5546875" style="3" customWidth="1"/>
    <col min="11527" max="11527" width="8.88671875" style="3"/>
    <col min="11528" max="11528" width="4.33203125" style="3" customWidth="1"/>
    <col min="11529" max="11529" width="7.88671875" style="3" customWidth="1"/>
    <col min="11530" max="11530" width="9.5546875" style="3" customWidth="1"/>
    <col min="11531" max="11531" width="8.6640625" style="3" customWidth="1"/>
    <col min="11532" max="11775" width="8.88671875" style="3"/>
    <col min="11776" max="11776" width="8" style="3" customWidth="1"/>
    <col min="11777" max="11777" width="11.44140625" style="3" customWidth="1"/>
    <col min="11778" max="11780" width="8.88671875" style="3"/>
    <col min="11781" max="11781" width="3.6640625" style="3" customWidth="1"/>
    <col min="11782" max="11782" width="7.5546875" style="3" customWidth="1"/>
    <col min="11783" max="11783" width="8.88671875" style="3"/>
    <col min="11784" max="11784" width="4.33203125" style="3" customWidth="1"/>
    <col min="11785" max="11785" width="7.88671875" style="3" customWidth="1"/>
    <col min="11786" max="11786" width="9.5546875" style="3" customWidth="1"/>
    <col min="11787" max="11787" width="8.6640625" style="3" customWidth="1"/>
    <col min="11788" max="12031" width="8.88671875" style="3"/>
    <col min="12032" max="12032" width="8" style="3" customWidth="1"/>
    <col min="12033" max="12033" width="11.44140625" style="3" customWidth="1"/>
    <col min="12034" max="12036" width="8.88671875" style="3"/>
    <col min="12037" max="12037" width="3.6640625" style="3" customWidth="1"/>
    <col min="12038" max="12038" width="7.5546875" style="3" customWidth="1"/>
    <col min="12039" max="12039" width="8.88671875" style="3"/>
    <col min="12040" max="12040" width="4.33203125" style="3" customWidth="1"/>
    <col min="12041" max="12041" width="7.88671875" style="3" customWidth="1"/>
    <col min="12042" max="12042" width="9.5546875" style="3" customWidth="1"/>
    <col min="12043" max="12043" width="8.6640625" style="3" customWidth="1"/>
    <col min="12044" max="12287" width="8.88671875" style="3"/>
    <col min="12288" max="12288" width="8" style="3" customWidth="1"/>
    <col min="12289" max="12289" width="11.44140625" style="3" customWidth="1"/>
    <col min="12290" max="12292" width="8.88671875" style="3"/>
    <col min="12293" max="12293" width="3.6640625" style="3" customWidth="1"/>
    <col min="12294" max="12294" width="7.5546875" style="3" customWidth="1"/>
    <col min="12295" max="12295" width="8.88671875" style="3"/>
    <col min="12296" max="12296" width="4.33203125" style="3" customWidth="1"/>
    <col min="12297" max="12297" width="7.88671875" style="3" customWidth="1"/>
    <col min="12298" max="12298" width="9.5546875" style="3" customWidth="1"/>
    <col min="12299" max="12299" width="8.6640625" style="3" customWidth="1"/>
    <col min="12300" max="12543" width="8.88671875" style="3"/>
    <col min="12544" max="12544" width="8" style="3" customWidth="1"/>
    <col min="12545" max="12545" width="11.44140625" style="3" customWidth="1"/>
    <col min="12546" max="12548" width="8.88671875" style="3"/>
    <col min="12549" max="12549" width="3.6640625" style="3" customWidth="1"/>
    <col min="12550" max="12550" width="7.5546875" style="3" customWidth="1"/>
    <col min="12551" max="12551" width="8.88671875" style="3"/>
    <col min="12552" max="12552" width="4.33203125" style="3" customWidth="1"/>
    <col min="12553" max="12553" width="7.88671875" style="3" customWidth="1"/>
    <col min="12554" max="12554" width="9.5546875" style="3" customWidth="1"/>
    <col min="12555" max="12555" width="8.6640625" style="3" customWidth="1"/>
    <col min="12556" max="12799" width="8.88671875" style="3"/>
    <col min="12800" max="12800" width="8" style="3" customWidth="1"/>
    <col min="12801" max="12801" width="11.44140625" style="3" customWidth="1"/>
    <col min="12802" max="12804" width="8.88671875" style="3"/>
    <col min="12805" max="12805" width="3.6640625" style="3" customWidth="1"/>
    <col min="12806" max="12806" width="7.5546875" style="3" customWidth="1"/>
    <col min="12807" max="12807" width="8.88671875" style="3"/>
    <col min="12808" max="12808" width="4.33203125" style="3" customWidth="1"/>
    <col min="12809" max="12809" width="7.88671875" style="3" customWidth="1"/>
    <col min="12810" max="12810" width="9.5546875" style="3" customWidth="1"/>
    <col min="12811" max="12811" width="8.6640625" style="3" customWidth="1"/>
    <col min="12812" max="13055" width="8.88671875" style="3"/>
    <col min="13056" max="13056" width="8" style="3" customWidth="1"/>
    <col min="13057" max="13057" width="11.44140625" style="3" customWidth="1"/>
    <col min="13058" max="13060" width="8.88671875" style="3"/>
    <col min="13061" max="13061" width="3.6640625" style="3" customWidth="1"/>
    <col min="13062" max="13062" width="7.5546875" style="3" customWidth="1"/>
    <col min="13063" max="13063" width="8.88671875" style="3"/>
    <col min="13064" max="13064" width="4.33203125" style="3" customWidth="1"/>
    <col min="13065" max="13065" width="7.88671875" style="3" customWidth="1"/>
    <col min="13066" max="13066" width="9.5546875" style="3" customWidth="1"/>
    <col min="13067" max="13067" width="8.6640625" style="3" customWidth="1"/>
    <col min="13068" max="13311" width="8.88671875" style="3"/>
    <col min="13312" max="13312" width="8" style="3" customWidth="1"/>
    <col min="13313" max="13313" width="11.44140625" style="3" customWidth="1"/>
    <col min="13314" max="13316" width="8.88671875" style="3"/>
    <col min="13317" max="13317" width="3.6640625" style="3" customWidth="1"/>
    <col min="13318" max="13318" width="7.5546875" style="3" customWidth="1"/>
    <col min="13319" max="13319" width="8.88671875" style="3"/>
    <col min="13320" max="13320" width="4.33203125" style="3" customWidth="1"/>
    <col min="13321" max="13321" width="7.88671875" style="3" customWidth="1"/>
    <col min="13322" max="13322" width="9.5546875" style="3" customWidth="1"/>
    <col min="13323" max="13323" width="8.6640625" style="3" customWidth="1"/>
    <col min="13324" max="13567" width="8.88671875" style="3"/>
    <col min="13568" max="13568" width="8" style="3" customWidth="1"/>
    <col min="13569" max="13569" width="11.44140625" style="3" customWidth="1"/>
    <col min="13570" max="13572" width="8.88671875" style="3"/>
    <col min="13573" max="13573" width="3.6640625" style="3" customWidth="1"/>
    <col min="13574" max="13574" width="7.5546875" style="3" customWidth="1"/>
    <col min="13575" max="13575" width="8.88671875" style="3"/>
    <col min="13576" max="13576" width="4.33203125" style="3" customWidth="1"/>
    <col min="13577" max="13577" width="7.88671875" style="3" customWidth="1"/>
    <col min="13578" max="13578" width="9.5546875" style="3" customWidth="1"/>
    <col min="13579" max="13579" width="8.6640625" style="3" customWidth="1"/>
    <col min="13580" max="13823" width="8.88671875" style="3"/>
    <col min="13824" max="13824" width="8" style="3" customWidth="1"/>
    <col min="13825" max="13825" width="11.44140625" style="3" customWidth="1"/>
    <col min="13826" max="13828" width="8.88671875" style="3"/>
    <col min="13829" max="13829" width="3.6640625" style="3" customWidth="1"/>
    <col min="13830" max="13830" width="7.5546875" style="3" customWidth="1"/>
    <col min="13831" max="13831" width="8.88671875" style="3"/>
    <col min="13832" max="13832" width="4.33203125" style="3" customWidth="1"/>
    <col min="13833" max="13833" width="7.88671875" style="3" customWidth="1"/>
    <col min="13834" max="13834" width="9.5546875" style="3" customWidth="1"/>
    <col min="13835" max="13835" width="8.6640625" style="3" customWidth="1"/>
    <col min="13836" max="14079" width="8.88671875" style="3"/>
    <col min="14080" max="14080" width="8" style="3" customWidth="1"/>
    <col min="14081" max="14081" width="11.44140625" style="3" customWidth="1"/>
    <col min="14082" max="14084" width="8.88671875" style="3"/>
    <col min="14085" max="14085" width="3.6640625" style="3" customWidth="1"/>
    <col min="14086" max="14086" width="7.5546875" style="3" customWidth="1"/>
    <col min="14087" max="14087" width="8.88671875" style="3"/>
    <col min="14088" max="14088" width="4.33203125" style="3" customWidth="1"/>
    <col min="14089" max="14089" width="7.88671875" style="3" customWidth="1"/>
    <col min="14090" max="14090" width="9.5546875" style="3" customWidth="1"/>
    <col min="14091" max="14091" width="8.6640625" style="3" customWidth="1"/>
    <col min="14092" max="14335" width="8.88671875" style="3"/>
    <col min="14336" max="14336" width="8" style="3" customWidth="1"/>
    <col min="14337" max="14337" width="11.44140625" style="3" customWidth="1"/>
    <col min="14338" max="14340" width="8.88671875" style="3"/>
    <col min="14341" max="14341" width="3.6640625" style="3" customWidth="1"/>
    <col min="14342" max="14342" width="7.5546875" style="3" customWidth="1"/>
    <col min="14343" max="14343" width="8.88671875" style="3"/>
    <col min="14344" max="14344" width="4.33203125" style="3" customWidth="1"/>
    <col min="14345" max="14345" width="7.88671875" style="3" customWidth="1"/>
    <col min="14346" max="14346" width="9.5546875" style="3" customWidth="1"/>
    <col min="14347" max="14347" width="8.6640625" style="3" customWidth="1"/>
    <col min="14348" max="14591" width="8.88671875" style="3"/>
    <col min="14592" max="14592" width="8" style="3" customWidth="1"/>
    <col min="14593" max="14593" width="11.44140625" style="3" customWidth="1"/>
    <col min="14594" max="14596" width="8.88671875" style="3"/>
    <col min="14597" max="14597" width="3.6640625" style="3" customWidth="1"/>
    <col min="14598" max="14598" width="7.5546875" style="3" customWidth="1"/>
    <col min="14599" max="14599" width="8.88671875" style="3"/>
    <col min="14600" max="14600" width="4.33203125" style="3" customWidth="1"/>
    <col min="14601" max="14601" width="7.88671875" style="3" customWidth="1"/>
    <col min="14602" max="14602" width="9.5546875" style="3" customWidth="1"/>
    <col min="14603" max="14603" width="8.6640625" style="3" customWidth="1"/>
    <col min="14604" max="14847" width="8.88671875" style="3"/>
    <col min="14848" max="14848" width="8" style="3" customWidth="1"/>
    <col min="14849" max="14849" width="11.44140625" style="3" customWidth="1"/>
    <col min="14850" max="14852" width="8.88671875" style="3"/>
    <col min="14853" max="14853" width="3.6640625" style="3" customWidth="1"/>
    <col min="14854" max="14854" width="7.5546875" style="3" customWidth="1"/>
    <col min="14855" max="14855" width="8.88671875" style="3"/>
    <col min="14856" max="14856" width="4.33203125" style="3" customWidth="1"/>
    <col min="14857" max="14857" width="7.88671875" style="3" customWidth="1"/>
    <col min="14858" max="14858" width="9.5546875" style="3" customWidth="1"/>
    <col min="14859" max="14859" width="8.6640625" style="3" customWidth="1"/>
    <col min="14860" max="15103" width="8.88671875" style="3"/>
    <col min="15104" max="15104" width="8" style="3" customWidth="1"/>
    <col min="15105" max="15105" width="11.44140625" style="3" customWidth="1"/>
    <col min="15106" max="15108" width="8.88671875" style="3"/>
    <col min="15109" max="15109" width="3.6640625" style="3" customWidth="1"/>
    <col min="15110" max="15110" width="7.5546875" style="3" customWidth="1"/>
    <col min="15111" max="15111" width="8.88671875" style="3"/>
    <col min="15112" max="15112" width="4.33203125" style="3" customWidth="1"/>
    <col min="15113" max="15113" width="7.88671875" style="3" customWidth="1"/>
    <col min="15114" max="15114" width="9.5546875" style="3" customWidth="1"/>
    <col min="15115" max="15115" width="8.6640625" style="3" customWidth="1"/>
    <col min="15116" max="15359" width="8.88671875" style="3"/>
    <col min="15360" max="15360" width="8" style="3" customWidth="1"/>
    <col min="15361" max="15361" width="11.44140625" style="3" customWidth="1"/>
    <col min="15362" max="15364" width="8.88671875" style="3"/>
    <col min="15365" max="15365" width="3.6640625" style="3" customWidth="1"/>
    <col min="15366" max="15366" width="7.5546875" style="3" customWidth="1"/>
    <col min="15367" max="15367" width="8.88671875" style="3"/>
    <col min="15368" max="15368" width="4.33203125" style="3" customWidth="1"/>
    <col min="15369" max="15369" width="7.88671875" style="3" customWidth="1"/>
    <col min="15370" max="15370" width="9.5546875" style="3" customWidth="1"/>
    <col min="15371" max="15371" width="8.6640625" style="3" customWidth="1"/>
    <col min="15372" max="15615" width="8.88671875" style="3"/>
    <col min="15616" max="15616" width="8" style="3" customWidth="1"/>
    <col min="15617" max="15617" width="11.44140625" style="3" customWidth="1"/>
    <col min="15618" max="15620" width="8.88671875" style="3"/>
    <col min="15621" max="15621" width="3.6640625" style="3" customWidth="1"/>
    <col min="15622" max="15622" width="7.5546875" style="3" customWidth="1"/>
    <col min="15623" max="15623" width="8.88671875" style="3"/>
    <col min="15624" max="15624" width="4.33203125" style="3" customWidth="1"/>
    <col min="15625" max="15625" width="7.88671875" style="3" customWidth="1"/>
    <col min="15626" max="15626" width="9.5546875" style="3" customWidth="1"/>
    <col min="15627" max="15627" width="8.6640625" style="3" customWidth="1"/>
    <col min="15628" max="15871" width="8.88671875" style="3"/>
    <col min="15872" max="15872" width="8" style="3" customWidth="1"/>
    <col min="15873" max="15873" width="11.44140625" style="3" customWidth="1"/>
    <col min="15874" max="15876" width="8.88671875" style="3"/>
    <col min="15877" max="15877" width="3.6640625" style="3" customWidth="1"/>
    <col min="15878" max="15878" width="7.5546875" style="3" customWidth="1"/>
    <col min="15879" max="15879" width="8.88671875" style="3"/>
    <col min="15880" max="15880" width="4.33203125" style="3" customWidth="1"/>
    <col min="15881" max="15881" width="7.88671875" style="3" customWidth="1"/>
    <col min="15882" max="15882" width="9.5546875" style="3" customWidth="1"/>
    <col min="15883" max="15883" width="8.6640625" style="3" customWidth="1"/>
    <col min="15884" max="16127" width="8.88671875" style="3"/>
    <col min="16128" max="16128" width="8" style="3" customWidth="1"/>
    <col min="16129" max="16129" width="11.44140625" style="3" customWidth="1"/>
    <col min="16130" max="16132" width="8.88671875" style="3"/>
    <col min="16133" max="16133" width="3.6640625" style="3" customWidth="1"/>
    <col min="16134" max="16134" width="7.5546875" style="3" customWidth="1"/>
    <col min="16135" max="16135" width="8.88671875" style="3"/>
    <col min="16136" max="16136" width="4.33203125" style="3" customWidth="1"/>
    <col min="16137" max="16137" width="7.88671875" style="3" customWidth="1"/>
    <col min="16138" max="16138" width="9.5546875" style="3" customWidth="1"/>
    <col min="16139" max="16139" width="8.6640625" style="3" customWidth="1"/>
    <col min="16140" max="16383" width="8.88671875" style="3"/>
    <col min="16384" max="16384" width="9.109375" style="3" customWidth="1"/>
  </cols>
  <sheetData>
    <row r="3" spans="2:11" ht="14.4" thickBot="1" x14ac:dyDescent="0.3">
      <c r="I3" s="4"/>
    </row>
    <row r="4" spans="2:11" x14ac:dyDescent="0.25">
      <c r="B4" s="67"/>
      <c r="C4" s="68"/>
      <c r="D4" s="68"/>
      <c r="E4" s="68"/>
      <c r="F4" s="69"/>
    </row>
    <row r="5" spans="2:11" ht="14.4" thickBot="1" x14ac:dyDescent="0.3">
      <c r="B5" s="70"/>
      <c r="D5" s="224" t="s">
        <v>49</v>
      </c>
      <c r="E5" s="224"/>
      <c r="F5" s="225"/>
      <c r="G5" s="71"/>
      <c r="H5" s="71"/>
    </row>
    <row r="6" spans="2:11" ht="14.4" x14ac:dyDescent="0.3">
      <c r="B6" s="72" t="s">
        <v>50</v>
      </c>
      <c r="C6" s="12" t="s">
        <v>51</v>
      </c>
      <c r="D6" s="174">
        <v>1</v>
      </c>
      <c r="E6" s="174">
        <v>2</v>
      </c>
      <c r="F6" s="175">
        <v>3</v>
      </c>
      <c r="G6" s="12"/>
      <c r="H6" s="13" t="s">
        <v>52</v>
      </c>
      <c r="I6" s="170" t="s">
        <v>53</v>
      </c>
      <c r="J6" s="171" t="s">
        <v>54</v>
      </c>
      <c r="K6" s="172" t="s">
        <v>55</v>
      </c>
    </row>
    <row r="7" spans="2:11" ht="14.4" x14ac:dyDescent="0.3">
      <c r="B7" s="73" t="s">
        <v>56</v>
      </c>
      <c r="C7" s="21">
        <v>99.5</v>
      </c>
      <c r="D7" s="21">
        <v>105</v>
      </c>
      <c r="E7" s="21">
        <v>0</v>
      </c>
      <c r="F7" s="22">
        <v>0</v>
      </c>
      <c r="G7" s="74"/>
      <c r="H7" s="74">
        <v>100</v>
      </c>
      <c r="I7" s="74">
        <f>$D7/(1+$D$11)^$D$6</f>
        <v>99.499999999999986</v>
      </c>
      <c r="J7" s="75">
        <f>+C7-I7</f>
        <v>0</v>
      </c>
      <c r="K7" s="76">
        <f>RATE(D6,0,-C7,D7)</f>
        <v>5.5276381909547763E-2</v>
      </c>
    </row>
    <row r="8" spans="2:11" ht="14.4" x14ac:dyDescent="0.3">
      <c r="B8" s="73" t="s">
        <v>57</v>
      </c>
      <c r="C8" s="21">
        <v>100.25</v>
      </c>
      <c r="D8" s="21">
        <v>6</v>
      </c>
      <c r="E8" s="21">
        <v>106</v>
      </c>
      <c r="F8" s="22">
        <v>0</v>
      </c>
      <c r="G8" s="74"/>
      <c r="H8" s="74">
        <v>100</v>
      </c>
      <c r="I8" s="74">
        <f>$D8/(1+$D$11)^$D$6+$E8/(1+$E$11)^$E$6</f>
        <v>100.2499999999952</v>
      </c>
      <c r="J8" s="75">
        <f>+C8-I8</f>
        <v>4.8032688937382773E-12</v>
      </c>
      <c r="K8" s="76">
        <f>RATE(E6,D8,-C8,H8)</f>
        <v>5.8639007926177746E-2</v>
      </c>
    </row>
    <row r="9" spans="2:11" ht="15" thickBot="1" x14ac:dyDescent="0.35">
      <c r="B9" s="77" t="s">
        <v>58</v>
      </c>
      <c r="C9" s="31">
        <v>101.25</v>
      </c>
      <c r="D9" s="31">
        <v>7</v>
      </c>
      <c r="E9" s="31">
        <v>7</v>
      </c>
      <c r="F9" s="32">
        <v>107</v>
      </c>
      <c r="G9" s="74"/>
      <c r="H9" s="74">
        <v>100</v>
      </c>
      <c r="I9" s="74">
        <f>$D9/(1+$D$11)^$D6+$E9/(1+$E$11)^$E$6+$F9/(1+$F$11)^$F$6</f>
        <v>101.25000000000011</v>
      </c>
      <c r="J9" s="75">
        <f>+C9-I9</f>
        <v>-1.1368683772161603E-13</v>
      </c>
      <c r="K9" s="76">
        <f>RATE(F6,D9,-C9,H9)</f>
        <v>6.5277892166219764E-2</v>
      </c>
    </row>
    <row r="10" spans="2:11" x14ac:dyDescent="0.25">
      <c r="D10" s="3" t="s">
        <v>58</v>
      </c>
      <c r="E10" s="3" t="s">
        <v>58</v>
      </c>
      <c r="F10" s="3" t="s">
        <v>251</v>
      </c>
    </row>
    <row r="11" spans="2:11" x14ac:dyDescent="0.25">
      <c r="C11" s="4" t="s">
        <v>59</v>
      </c>
      <c r="D11" s="78">
        <v>5.5276381909547971E-2</v>
      </c>
      <c r="E11" s="78">
        <v>5.8740092695565391E-2</v>
      </c>
      <c r="F11" s="78">
        <v>6.5834895328553328E-2</v>
      </c>
      <c r="G11" s="78"/>
      <c r="H11" s="78"/>
    </row>
    <row r="12" spans="2:11" x14ac:dyDescent="0.25">
      <c r="C12" s="4"/>
      <c r="D12" s="78"/>
      <c r="E12" s="78"/>
      <c r="F12" s="78"/>
      <c r="G12" s="78"/>
      <c r="H12" s="78"/>
    </row>
    <row r="13" spans="2:11" ht="17.399999999999999" x14ac:dyDescent="0.4">
      <c r="B13" s="3" t="s">
        <v>252</v>
      </c>
      <c r="C13" s="169" t="s">
        <v>60</v>
      </c>
      <c r="D13" s="79">
        <f>1/(1+D11)^D6</f>
        <v>0.94761904761904747</v>
      </c>
      <c r="E13" s="79">
        <f>1/(1+E11)^E6</f>
        <v>0.89211590296491428</v>
      </c>
      <c r="F13" s="79">
        <f>1/(1+F11)^F6</f>
        <v>0.82590519014871377</v>
      </c>
      <c r="G13" s="78"/>
      <c r="H13" s="78"/>
    </row>
    <row r="15" spans="2:11" x14ac:dyDescent="0.25">
      <c r="B15" s="5"/>
      <c r="C15" s="173" t="s">
        <v>61</v>
      </c>
    </row>
    <row r="16" spans="2:11" ht="17.399999999999999" x14ac:dyDescent="0.4">
      <c r="B16" s="3" t="s">
        <v>253</v>
      </c>
      <c r="C16" s="80" t="s">
        <v>62</v>
      </c>
      <c r="D16" s="78">
        <f>(1+E$11)^E$6/(1+D$11)^D$6-1</f>
        <v>6.2215172344390002E-2</v>
      </c>
    </row>
    <row r="17" spans="2:10" ht="17.399999999999999" x14ac:dyDescent="0.4">
      <c r="B17" s="3" t="s">
        <v>254</v>
      </c>
      <c r="C17" s="80" t="s">
        <v>63</v>
      </c>
      <c r="E17" s="78">
        <f>(1+F$11)^F$6/(1+E$11)^E$6-1</f>
        <v>8.0167449733883567E-2</v>
      </c>
    </row>
    <row r="18" spans="2:10" ht="17.399999999999999" x14ac:dyDescent="0.4">
      <c r="B18" s="3" t="s">
        <v>255</v>
      </c>
      <c r="C18" s="80" t="s">
        <v>64</v>
      </c>
      <c r="D18" s="78">
        <f>POWER((1+F$11)^F$6/(1+D$11)^D$6,1/E6)-1</f>
        <v>7.1153702220123627E-2</v>
      </c>
    </row>
    <row r="21" spans="2:10" x14ac:dyDescent="0.25">
      <c r="B21" s="12" t="s">
        <v>50</v>
      </c>
      <c r="C21" s="12" t="s">
        <v>51</v>
      </c>
      <c r="D21" s="12">
        <v>1</v>
      </c>
      <c r="E21" s="12">
        <v>2</v>
      </c>
      <c r="F21" s="12">
        <v>3</v>
      </c>
      <c r="G21" s="12"/>
      <c r="H21" s="13" t="s">
        <v>52</v>
      </c>
      <c r="I21" s="170" t="s">
        <v>53</v>
      </c>
      <c r="J21" s="172" t="s">
        <v>55</v>
      </c>
    </row>
    <row r="22" spans="2:10" ht="14.4" x14ac:dyDescent="0.3">
      <c r="B22" s="81" t="s">
        <v>65</v>
      </c>
      <c r="C22" s="21">
        <f>I22</f>
        <v>94.585899648168407</v>
      </c>
      <c r="D22" s="21">
        <v>4.5</v>
      </c>
      <c r="E22" s="21">
        <v>4.5</v>
      </c>
      <c r="F22" s="21">
        <v>104.5</v>
      </c>
      <c r="G22" s="74"/>
      <c r="H22" s="74">
        <v>100</v>
      </c>
      <c r="I22" s="74">
        <f>(D22*D13)+(E22*E13)+(F22*F13)</f>
        <v>94.585899648168407</v>
      </c>
      <c r="J22" s="76">
        <f>RATE(F21,D22,-C22,H22)</f>
        <v>6.5459603460023483E-2</v>
      </c>
    </row>
    <row r="25" spans="2:10" x14ac:dyDescent="0.25">
      <c r="B25" s="5"/>
      <c r="C25" s="169" t="s">
        <v>66</v>
      </c>
      <c r="D25" s="79">
        <f>(1+D11)^D6</f>
        <v>1.0552763819095479</v>
      </c>
      <c r="E25" s="79">
        <f>(1+E11)^E6</f>
        <v>1.1209305838810146</v>
      </c>
    </row>
  </sheetData>
  <mergeCells count="1">
    <mergeCell ref="D5:F5"/>
  </mergeCell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29639-F455-4BA2-8831-E27839CF7DDE}">
  <dimension ref="B2:Q37"/>
  <sheetViews>
    <sheetView workbookViewId="0">
      <selection activeCell="E13" sqref="E13"/>
    </sheetView>
  </sheetViews>
  <sheetFormatPr defaultColWidth="9.109375" defaultRowHeight="13.8" x14ac:dyDescent="0.25"/>
  <cols>
    <col min="1" max="1" width="9.109375" style="3"/>
    <col min="2" max="2" width="9.33203125" style="3" bestFit="1" customWidth="1"/>
    <col min="3" max="3" width="12.109375" style="3" customWidth="1"/>
    <col min="4" max="4" width="10.6640625" style="3" customWidth="1"/>
    <col min="5" max="5" width="10.109375" style="3" customWidth="1"/>
    <col min="6" max="6" width="11.33203125" style="3" customWidth="1"/>
    <col min="7" max="7" width="11" style="3" bestFit="1" customWidth="1"/>
    <col min="8" max="8" width="11.88671875" style="3" customWidth="1"/>
    <col min="9" max="9" width="14.109375" style="3" customWidth="1"/>
    <col min="10" max="10" width="10.6640625" style="3" customWidth="1"/>
    <col min="11" max="16384" width="9.109375" style="3"/>
  </cols>
  <sheetData>
    <row r="2" spans="2:17" x14ac:dyDescent="0.25">
      <c r="B2" s="4" t="s">
        <v>81</v>
      </c>
      <c r="C2" s="8">
        <v>100</v>
      </c>
    </row>
    <row r="3" spans="2:17" x14ac:dyDescent="0.25">
      <c r="B3" s="4" t="s">
        <v>82</v>
      </c>
      <c r="C3" s="102">
        <v>0.03</v>
      </c>
    </row>
    <row r="4" spans="2:17" x14ac:dyDescent="0.25">
      <c r="B4" s="4" t="s">
        <v>83</v>
      </c>
      <c r="C4" s="102">
        <v>0.02</v>
      </c>
    </row>
    <row r="6" spans="2:17" ht="34.5" customHeight="1" x14ac:dyDescent="0.25">
      <c r="C6" s="226" t="s">
        <v>84</v>
      </c>
      <c r="D6" s="227"/>
    </row>
    <row r="7" spans="2:17" ht="28.2" thickBot="1" x14ac:dyDescent="0.3">
      <c r="B7" s="103" t="s">
        <v>85</v>
      </c>
      <c r="C7" s="104" t="s">
        <v>86</v>
      </c>
      <c r="D7" s="105" t="s">
        <v>87</v>
      </c>
      <c r="E7" s="106" t="s">
        <v>88</v>
      </c>
      <c r="F7" s="103" t="s">
        <v>89</v>
      </c>
      <c r="G7" s="106" t="s">
        <v>90</v>
      </c>
      <c r="H7" s="106" t="s">
        <v>91</v>
      </c>
      <c r="I7" s="106" t="s">
        <v>92</v>
      </c>
    </row>
    <row r="8" spans="2:17" x14ac:dyDescent="0.25">
      <c r="B8" s="18">
        <v>1</v>
      </c>
      <c r="C8" s="107">
        <f t="shared" ref="C8:C37" si="0">$C$2/(1+C$3)^$B8</f>
        <v>97.087378640776691</v>
      </c>
      <c r="D8" s="108">
        <f t="shared" ref="D8:D37" si="1">$C$2/(1+C$4)^$B8</f>
        <v>98.039215686274503</v>
      </c>
      <c r="E8" s="109">
        <f>((D8-C8)/C8)*100</f>
        <v>0.98039215686274561</v>
      </c>
      <c r="F8" s="18">
        <f t="shared" ref="F8:F37" si="2">B8</f>
        <v>1</v>
      </c>
      <c r="G8" s="110">
        <f t="shared" ref="G8:G37" si="3">F8/(1+$C$3)</f>
        <v>0.970873786407767</v>
      </c>
      <c r="H8" s="109">
        <f t="shared" ref="H8:H37" si="4">-G8*($C$4-$C$3)*100</f>
        <v>0.97087378640776689</v>
      </c>
      <c r="I8" s="111">
        <f>E8-H8</f>
        <v>9.5183704549787196E-3</v>
      </c>
      <c r="K8" s="18"/>
      <c r="L8" s="110"/>
      <c r="M8" s="110"/>
      <c r="N8" s="112"/>
      <c r="O8" s="112"/>
      <c r="Q8" s="112"/>
    </row>
    <row r="9" spans="2:17" x14ac:dyDescent="0.25">
      <c r="B9" s="18">
        <f>1+B8</f>
        <v>2</v>
      </c>
      <c r="C9" s="107">
        <f t="shared" si="0"/>
        <v>94.259590913375433</v>
      </c>
      <c r="D9" s="108">
        <f t="shared" si="1"/>
        <v>96.116878123798543</v>
      </c>
      <c r="E9" s="109">
        <f t="shared" ref="E9:E37" si="5">((D9-C9)/C9)*100</f>
        <v>1.970396001537877</v>
      </c>
      <c r="F9" s="18">
        <f t="shared" si="2"/>
        <v>2</v>
      </c>
      <c r="G9" s="110">
        <f t="shared" si="3"/>
        <v>1.941747572815534</v>
      </c>
      <c r="H9" s="109">
        <f t="shared" si="4"/>
        <v>1.9417475728155338</v>
      </c>
      <c r="I9" s="111">
        <f t="shared" ref="I9:I37" si="6">E9-H9</f>
        <v>2.8648428722343189E-2</v>
      </c>
      <c r="K9" s="18"/>
      <c r="L9" s="110"/>
      <c r="M9" s="110"/>
      <c r="N9" s="112"/>
      <c r="O9" s="112"/>
      <c r="Q9" s="112"/>
    </row>
    <row r="10" spans="2:17" x14ac:dyDescent="0.25">
      <c r="B10" s="18">
        <f t="shared" ref="B10:B37" si="7">1+B9</f>
        <v>3</v>
      </c>
      <c r="C10" s="107">
        <f t="shared" si="0"/>
        <v>91.514165935315958</v>
      </c>
      <c r="D10" s="108">
        <f t="shared" si="1"/>
        <v>94.232233454704456</v>
      </c>
      <c r="E10" s="109">
        <f t="shared" si="5"/>
        <v>2.9701057662588353</v>
      </c>
      <c r="F10" s="18">
        <f t="shared" si="2"/>
        <v>3</v>
      </c>
      <c r="G10" s="110">
        <f t="shared" si="3"/>
        <v>2.912621359223301</v>
      </c>
      <c r="H10" s="109">
        <f t="shared" si="4"/>
        <v>2.9126213592233006</v>
      </c>
      <c r="I10" s="111">
        <f t="shared" si="6"/>
        <v>5.7484407035534701E-2</v>
      </c>
      <c r="K10" s="18"/>
      <c r="L10" s="110"/>
      <c r="M10" s="110"/>
      <c r="N10" s="112"/>
      <c r="O10" s="112"/>
      <c r="Q10" s="112"/>
    </row>
    <row r="11" spans="2:17" x14ac:dyDescent="0.25">
      <c r="B11" s="18">
        <f t="shared" si="7"/>
        <v>4</v>
      </c>
      <c r="C11" s="107">
        <f t="shared" si="0"/>
        <v>88.848704791568892</v>
      </c>
      <c r="D11" s="108">
        <f t="shared" si="1"/>
        <v>92.384542602651422</v>
      </c>
      <c r="E11" s="109">
        <f t="shared" si="5"/>
        <v>3.9796166071045032</v>
      </c>
      <c r="F11" s="18">
        <f t="shared" si="2"/>
        <v>4</v>
      </c>
      <c r="G11" s="110">
        <f t="shared" si="3"/>
        <v>3.883495145631068</v>
      </c>
      <c r="H11" s="109">
        <f t="shared" si="4"/>
        <v>3.8834951456310676</v>
      </c>
      <c r="I11" s="111">
        <f t="shared" si="6"/>
        <v>9.6121461473435588E-2</v>
      </c>
      <c r="K11" s="18"/>
      <c r="L11" s="110"/>
      <c r="M11" s="110"/>
      <c r="N11" s="112"/>
      <c r="O11" s="112"/>
      <c r="Q11" s="112"/>
    </row>
    <row r="12" spans="2:17" x14ac:dyDescent="0.25">
      <c r="B12" s="18">
        <f t="shared" si="7"/>
        <v>5</v>
      </c>
      <c r="C12" s="107">
        <f t="shared" si="0"/>
        <v>86.260878438416412</v>
      </c>
      <c r="D12" s="108">
        <f t="shared" si="1"/>
        <v>90.573080982991584</v>
      </c>
      <c r="E12" s="109">
        <f t="shared" si="5"/>
        <v>4.9990246130564859</v>
      </c>
      <c r="F12" s="18">
        <f t="shared" si="2"/>
        <v>5</v>
      </c>
      <c r="G12" s="110">
        <f t="shared" si="3"/>
        <v>4.8543689320388346</v>
      </c>
      <c r="H12" s="109">
        <f t="shared" si="4"/>
        <v>4.8543689320388337</v>
      </c>
      <c r="I12" s="111">
        <f t="shared" si="6"/>
        <v>0.14465568101765225</v>
      </c>
      <c r="K12" s="18"/>
      <c r="L12" s="110"/>
      <c r="M12" s="110"/>
      <c r="N12" s="112"/>
      <c r="O12" s="112"/>
      <c r="Q12" s="112"/>
    </row>
    <row r="13" spans="2:17" x14ac:dyDescent="0.25">
      <c r="B13" s="18">
        <f t="shared" si="7"/>
        <v>6</v>
      </c>
      <c r="C13" s="107">
        <f t="shared" si="0"/>
        <v>83.748425668365442</v>
      </c>
      <c r="D13" s="108">
        <f t="shared" si="1"/>
        <v>88.797138218619196</v>
      </c>
      <c r="E13" s="109">
        <f t="shared" si="5"/>
        <v>6.028426815145278</v>
      </c>
      <c r="F13" s="18">
        <f t="shared" si="2"/>
        <v>6</v>
      </c>
      <c r="G13" s="110">
        <f t="shared" si="3"/>
        <v>5.825242718446602</v>
      </c>
      <c r="H13" s="109">
        <f t="shared" si="4"/>
        <v>5.8252427184466011</v>
      </c>
      <c r="I13" s="111">
        <f t="shared" si="6"/>
        <v>0.20318409669867687</v>
      </c>
      <c r="K13" s="18"/>
      <c r="L13" s="110"/>
      <c r="M13" s="110"/>
      <c r="N13" s="112"/>
      <c r="O13" s="112"/>
      <c r="Q13" s="112"/>
    </row>
    <row r="14" spans="2:17" x14ac:dyDescent="0.25">
      <c r="B14" s="18">
        <f t="shared" si="7"/>
        <v>7</v>
      </c>
      <c r="C14" s="107">
        <f t="shared" si="0"/>
        <v>81.30915113433538</v>
      </c>
      <c r="D14" s="108">
        <f t="shared" si="1"/>
        <v>87.056017861391396</v>
      </c>
      <c r="E14" s="109">
        <f t="shared" si="5"/>
        <v>7.0679211956859529</v>
      </c>
      <c r="F14" s="18">
        <f t="shared" si="2"/>
        <v>7</v>
      </c>
      <c r="G14" s="110">
        <f t="shared" si="3"/>
        <v>6.7961165048543686</v>
      </c>
      <c r="H14" s="109">
        <f t="shared" si="4"/>
        <v>6.7961165048543677</v>
      </c>
      <c r="I14" s="111">
        <f t="shared" si="6"/>
        <v>0.27180469083158521</v>
      </c>
      <c r="K14" s="18"/>
      <c r="L14" s="110"/>
      <c r="M14" s="110"/>
      <c r="N14" s="112"/>
      <c r="O14" s="112"/>
      <c r="Q14" s="112"/>
    </row>
    <row r="15" spans="2:17" x14ac:dyDescent="0.25">
      <c r="B15" s="18">
        <f t="shared" si="7"/>
        <v>8</v>
      </c>
      <c r="C15" s="107">
        <f t="shared" si="0"/>
        <v>78.940923431393571</v>
      </c>
      <c r="D15" s="108">
        <f t="shared" si="1"/>
        <v>85.349037119011157</v>
      </c>
      <c r="E15" s="109">
        <f t="shared" si="5"/>
        <v>8.1176066976044261</v>
      </c>
      <c r="F15" s="18">
        <f t="shared" si="2"/>
        <v>8</v>
      </c>
      <c r="G15" s="110">
        <f t="shared" si="3"/>
        <v>7.766990291262136</v>
      </c>
      <c r="H15" s="109">
        <f t="shared" si="4"/>
        <v>7.7669902912621351</v>
      </c>
      <c r="I15" s="111">
        <f t="shared" si="6"/>
        <v>0.35061640634229096</v>
      </c>
      <c r="K15" s="18"/>
      <c r="L15" s="110"/>
      <c r="M15" s="110"/>
      <c r="N15" s="112"/>
      <c r="O15" s="112"/>
      <c r="Q15" s="112"/>
    </row>
    <row r="16" spans="2:17" x14ac:dyDescent="0.25">
      <c r="B16" s="18">
        <f t="shared" si="7"/>
        <v>9</v>
      </c>
      <c r="C16" s="107">
        <f t="shared" si="0"/>
        <v>76.641673234362699</v>
      </c>
      <c r="D16" s="108">
        <f t="shared" si="1"/>
        <v>83.67552658726585</v>
      </c>
      <c r="E16" s="109">
        <f t="shared" si="5"/>
        <v>9.1775832338554491</v>
      </c>
      <c r="F16" s="18">
        <f t="shared" si="2"/>
        <v>9</v>
      </c>
      <c r="G16" s="110">
        <f t="shared" si="3"/>
        <v>8.7378640776699026</v>
      </c>
      <c r="H16" s="109">
        <f t="shared" si="4"/>
        <v>8.7378640776699026</v>
      </c>
      <c r="I16" s="111">
        <f t="shared" si="6"/>
        <v>0.43971915618554647</v>
      </c>
      <c r="K16" s="18"/>
      <c r="L16" s="110"/>
      <c r="M16" s="110"/>
      <c r="N16" s="112"/>
      <c r="O16" s="112"/>
      <c r="Q16" s="112"/>
    </row>
    <row r="17" spans="2:17" x14ac:dyDescent="0.25">
      <c r="B17" s="18">
        <f t="shared" si="7"/>
        <v>10</v>
      </c>
      <c r="C17" s="107">
        <f t="shared" si="0"/>
        <v>74.409391489672515</v>
      </c>
      <c r="D17" s="108">
        <f t="shared" si="1"/>
        <v>82.034829987515536</v>
      </c>
      <c r="E17" s="109">
        <f t="shared" si="5"/>
        <v>10.247951696932473</v>
      </c>
      <c r="F17" s="18">
        <f t="shared" si="2"/>
        <v>10</v>
      </c>
      <c r="G17" s="110">
        <f t="shared" si="3"/>
        <v>9.7087378640776691</v>
      </c>
      <c r="H17" s="109">
        <f t="shared" si="4"/>
        <v>9.7087378640776674</v>
      </c>
      <c r="I17" s="111">
        <f t="shared" si="6"/>
        <v>0.53921383285480573</v>
      </c>
      <c r="K17" s="18"/>
      <c r="L17" s="110"/>
      <c r="M17" s="110"/>
      <c r="N17" s="112"/>
      <c r="O17" s="112"/>
      <c r="Q17" s="112"/>
    </row>
    <row r="18" spans="2:17" x14ac:dyDescent="0.25">
      <c r="B18" s="18">
        <f t="shared" si="7"/>
        <v>11</v>
      </c>
      <c r="C18" s="107">
        <f t="shared" si="0"/>
        <v>72.242127659876232</v>
      </c>
      <c r="D18" s="108">
        <f t="shared" si="1"/>
        <v>80.426303909328965</v>
      </c>
      <c r="E18" s="109">
        <f t="shared" si="5"/>
        <v>11.328813968471032</v>
      </c>
      <c r="F18" s="18">
        <f t="shared" si="2"/>
        <v>11</v>
      </c>
      <c r="G18" s="110">
        <f t="shared" si="3"/>
        <v>10.679611650485437</v>
      </c>
      <c r="H18" s="109">
        <f t="shared" si="4"/>
        <v>10.679611650485436</v>
      </c>
      <c r="I18" s="111">
        <f t="shared" si="6"/>
        <v>0.64920231798559591</v>
      </c>
      <c r="K18" s="18"/>
      <c r="L18" s="110"/>
      <c r="M18" s="110"/>
      <c r="N18" s="112"/>
      <c r="O18" s="112"/>
      <c r="Q18" s="112"/>
    </row>
    <row r="19" spans="2:17" x14ac:dyDescent="0.25">
      <c r="B19" s="18">
        <f t="shared" si="7"/>
        <v>12</v>
      </c>
      <c r="C19" s="107">
        <f t="shared" si="0"/>
        <v>70.137988019297325</v>
      </c>
      <c r="D19" s="108">
        <f t="shared" si="1"/>
        <v>78.849317558165637</v>
      </c>
      <c r="E19" s="109">
        <f t="shared" si="5"/>
        <v>12.420272928946197</v>
      </c>
      <c r="F19" s="18">
        <f t="shared" si="2"/>
        <v>12</v>
      </c>
      <c r="G19" s="110">
        <f t="shared" si="3"/>
        <v>11.650485436893204</v>
      </c>
      <c r="H19" s="109">
        <f t="shared" si="4"/>
        <v>11.650485436893202</v>
      </c>
      <c r="I19" s="111">
        <f t="shared" si="6"/>
        <v>0.76978749205299479</v>
      </c>
      <c r="K19" s="18"/>
      <c r="L19" s="110"/>
      <c r="M19" s="110"/>
      <c r="N19" s="112"/>
      <c r="O19" s="112"/>
      <c r="Q19" s="112"/>
    </row>
    <row r="20" spans="2:17" x14ac:dyDescent="0.25">
      <c r="B20" s="18">
        <f t="shared" si="7"/>
        <v>13</v>
      </c>
      <c r="C20" s="107">
        <f t="shared" si="0"/>
        <v>68.095133999317795</v>
      </c>
      <c r="D20" s="108">
        <f t="shared" si="1"/>
        <v>77.303252508005528</v>
      </c>
      <c r="E20" s="109">
        <f t="shared" si="5"/>
        <v>13.522432467465272</v>
      </c>
      <c r="F20" s="18">
        <f t="shared" si="2"/>
        <v>13</v>
      </c>
      <c r="G20" s="110">
        <f t="shared" si="3"/>
        <v>12.621359223300971</v>
      </c>
      <c r="H20" s="109">
        <f t="shared" si="4"/>
        <v>12.621359223300969</v>
      </c>
      <c r="I20" s="111">
        <f t="shared" si="6"/>
        <v>0.90107324416430323</v>
      </c>
      <c r="K20" s="18"/>
      <c r="L20" s="110"/>
      <c r="M20" s="110"/>
      <c r="N20" s="112"/>
      <c r="O20" s="112"/>
      <c r="Q20" s="112"/>
    </row>
    <row r="21" spans="2:17" x14ac:dyDescent="0.25">
      <c r="B21" s="18">
        <f t="shared" si="7"/>
        <v>14</v>
      </c>
      <c r="C21" s="107">
        <f t="shared" si="0"/>
        <v>66.111780581861922</v>
      </c>
      <c r="D21" s="108">
        <f t="shared" si="1"/>
        <v>75.787502458828953</v>
      </c>
      <c r="E21" s="109">
        <f t="shared" si="5"/>
        <v>14.635397491656141</v>
      </c>
      <c r="F21" s="18">
        <f t="shared" si="2"/>
        <v>14</v>
      </c>
      <c r="G21" s="110">
        <f t="shared" si="3"/>
        <v>13.592233009708737</v>
      </c>
      <c r="H21" s="109">
        <f t="shared" si="4"/>
        <v>13.592233009708735</v>
      </c>
      <c r="I21" s="111">
        <f t="shared" si="6"/>
        <v>1.0431644819474055</v>
      </c>
      <c r="K21" s="18"/>
      <c r="L21" s="110"/>
      <c r="M21" s="110"/>
      <c r="N21" s="112"/>
      <c r="O21" s="112"/>
      <c r="Q21" s="112"/>
    </row>
    <row r="22" spans="2:17" x14ac:dyDescent="0.25">
      <c r="B22" s="18">
        <f t="shared" si="7"/>
        <v>15</v>
      </c>
      <c r="C22" s="107">
        <f t="shared" si="0"/>
        <v>64.186194739671762</v>
      </c>
      <c r="D22" s="108">
        <f t="shared" si="1"/>
        <v>74.301472998851935</v>
      </c>
      <c r="E22" s="109">
        <f t="shared" si="5"/>
        <v>15.759273937652813</v>
      </c>
      <c r="F22" s="18">
        <f t="shared" si="2"/>
        <v>15</v>
      </c>
      <c r="G22" s="110">
        <f t="shared" si="3"/>
        <v>14.563106796116504</v>
      </c>
      <c r="H22" s="109">
        <f t="shared" si="4"/>
        <v>14.563106796116502</v>
      </c>
      <c r="I22" s="111">
        <f t="shared" si="6"/>
        <v>1.1961671415363107</v>
      </c>
      <c r="K22" s="18"/>
      <c r="L22" s="110"/>
      <c r="M22" s="110"/>
      <c r="N22" s="112"/>
      <c r="O22" s="112"/>
      <c r="Q22" s="112"/>
    </row>
    <row r="23" spans="2:17" x14ac:dyDescent="0.25">
      <c r="B23" s="18">
        <f t="shared" si="7"/>
        <v>16</v>
      </c>
      <c r="C23" s="107">
        <f t="shared" si="0"/>
        <v>62.316693922011439</v>
      </c>
      <c r="D23" s="108">
        <f t="shared" si="1"/>
        <v>72.844581371423445</v>
      </c>
      <c r="E23" s="109">
        <f t="shared" si="5"/>
        <v>16.894168780178749</v>
      </c>
      <c r="F23" s="18">
        <f t="shared" si="2"/>
        <v>16</v>
      </c>
      <c r="G23" s="110">
        <f t="shared" si="3"/>
        <v>15.533980582524272</v>
      </c>
      <c r="H23" s="109">
        <f t="shared" si="4"/>
        <v>15.53398058252427</v>
      </c>
      <c r="I23" s="111">
        <f t="shared" si="6"/>
        <v>1.3601881976544785</v>
      </c>
      <c r="K23" s="18"/>
      <c r="L23" s="110"/>
      <c r="M23" s="110"/>
      <c r="N23" s="112"/>
      <c r="O23" s="112"/>
      <c r="Q23" s="112"/>
    </row>
    <row r="24" spans="2:17" x14ac:dyDescent="0.25">
      <c r="B24" s="18">
        <f t="shared" si="7"/>
        <v>17</v>
      </c>
      <c r="C24" s="107">
        <f t="shared" si="0"/>
        <v>60.50164458447712</v>
      </c>
      <c r="D24" s="108">
        <f t="shared" si="1"/>
        <v>71.416256246493575</v>
      </c>
      <c r="E24" s="109">
        <f t="shared" si="5"/>
        <v>18.040190042729538</v>
      </c>
      <c r="F24" s="18">
        <f t="shared" si="2"/>
        <v>17</v>
      </c>
      <c r="G24" s="110">
        <f t="shared" si="3"/>
        <v>16.504854368932037</v>
      </c>
      <c r="H24" s="109">
        <f t="shared" si="4"/>
        <v>16.504854368932033</v>
      </c>
      <c r="I24" s="111">
        <f t="shared" si="6"/>
        <v>1.5353356737975048</v>
      </c>
      <c r="K24" s="18"/>
      <c r="L24" s="110"/>
      <c r="M24" s="110"/>
      <c r="N24" s="112"/>
      <c r="O24" s="112"/>
      <c r="Q24" s="112"/>
    </row>
    <row r="25" spans="2:17" x14ac:dyDescent="0.25">
      <c r="B25" s="18">
        <f t="shared" si="7"/>
        <v>18</v>
      </c>
      <c r="C25" s="107">
        <f t="shared" si="0"/>
        <v>58.739460761628273</v>
      </c>
      <c r="D25" s="108">
        <f t="shared" si="1"/>
        <v>70.01593749656233</v>
      </c>
      <c r="E25" s="109">
        <f t="shared" si="5"/>
        <v>19.197446807854337</v>
      </c>
      <c r="F25" s="18">
        <f t="shared" si="2"/>
        <v>18</v>
      </c>
      <c r="G25" s="110">
        <f t="shared" si="3"/>
        <v>17.475728155339805</v>
      </c>
      <c r="H25" s="109">
        <f t="shared" si="4"/>
        <v>17.475728155339805</v>
      </c>
      <c r="I25" s="111">
        <f t="shared" si="6"/>
        <v>1.7217186525145323</v>
      </c>
      <c r="K25" s="18"/>
      <c r="L25" s="110"/>
      <c r="M25" s="110"/>
      <c r="N25" s="112"/>
      <c r="O25" s="112"/>
      <c r="Q25" s="112"/>
    </row>
    <row r="26" spans="2:17" x14ac:dyDescent="0.25">
      <c r="B26" s="18">
        <f t="shared" si="7"/>
        <v>19</v>
      </c>
      <c r="C26" s="107">
        <f t="shared" si="0"/>
        <v>57.028602681192503</v>
      </c>
      <c r="D26" s="108">
        <f t="shared" si="1"/>
        <v>68.643075977021894</v>
      </c>
      <c r="E26" s="109">
        <f t="shared" si="5"/>
        <v>20.366049227539175</v>
      </c>
      <c r="F26" s="18">
        <f t="shared" si="2"/>
        <v>19</v>
      </c>
      <c r="G26" s="110">
        <f t="shared" si="3"/>
        <v>18.446601941747574</v>
      </c>
      <c r="H26" s="109">
        <f t="shared" si="4"/>
        <v>18.44660194174757</v>
      </c>
      <c r="I26" s="111">
        <f t="shared" si="6"/>
        <v>1.9194472857916054</v>
      </c>
      <c r="K26" s="18"/>
      <c r="L26" s="110"/>
      <c r="M26" s="110"/>
      <c r="N26" s="112"/>
      <c r="O26" s="112"/>
      <c r="Q26" s="112"/>
    </row>
    <row r="27" spans="2:17" x14ac:dyDescent="0.25">
      <c r="B27" s="18">
        <f t="shared" si="7"/>
        <v>20</v>
      </c>
      <c r="C27" s="107">
        <f t="shared" si="0"/>
        <v>55.3675754186335</v>
      </c>
      <c r="D27" s="108">
        <f t="shared" si="1"/>
        <v>67.297133310805776</v>
      </c>
      <c r="E27" s="109">
        <f t="shared" si="5"/>
        <v>21.546108533691513</v>
      </c>
      <c r="F27" s="18">
        <f t="shared" si="2"/>
        <v>20</v>
      </c>
      <c r="G27" s="110">
        <f t="shared" si="3"/>
        <v>19.417475728155338</v>
      </c>
      <c r="H27" s="109">
        <f t="shared" si="4"/>
        <v>19.417475728155335</v>
      </c>
      <c r="I27" s="111">
        <f t="shared" si="6"/>
        <v>2.1286328055361778</v>
      </c>
      <c r="K27" s="18"/>
      <c r="L27" s="110"/>
      <c r="M27" s="110"/>
      <c r="N27" s="112"/>
      <c r="O27" s="112"/>
      <c r="Q27" s="112"/>
    </row>
    <row r="28" spans="2:17" x14ac:dyDescent="0.25">
      <c r="B28" s="18">
        <f t="shared" si="7"/>
        <v>21</v>
      </c>
      <c r="C28" s="107">
        <f t="shared" si="0"/>
        <v>53.754927590906313</v>
      </c>
      <c r="D28" s="108">
        <f t="shared" si="1"/>
        <v>65.977581677260574</v>
      </c>
      <c r="E28" s="109">
        <f t="shared" si="5"/>
        <v>22.737737048727716</v>
      </c>
      <c r="F28" s="18">
        <f t="shared" si="2"/>
        <v>21</v>
      </c>
      <c r="G28" s="110">
        <f t="shared" si="3"/>
        <v>20.388349514563107</v>
      </c>
      <c r="H28" s="109">
        <f t="shared" si="4"/>
        <v>20.388349514563103</v>
      </c>
      <c r="I28" s="111">
        <f t="shared" si="6"/>
        <v>2.3493875341646131</v>
      </c>
      <c r="K28" s="18"/>
      <c r="L28" s="110"/>
      <c r="M28" s="110"/>
      <c r="N28" s="112"/>
      <c r="O28" s="112"/>
      <c r="Q28" s="112"/>
    </row>
    <row r="29" spans="2:17" x14ac:dyDescent="0.25">
      <c r="B29" s="18">
        <f t="shared" si="7"/>
        <v>22</v>
      </c>
      <c r="C29" s="107">
        <f t="shared" si="0"/>
        <v>52.189250088258554</v>
      </c>
      <c r="D29" s="108">
        <f t="shared" si="1"/>
        <v>64.683903605157411</v>
      </c>
      <c r="E29" s="109">
        <f t="shared" si="5"/>
        <v>23.941048196264241</v>
      </c>
      <c r="F29" s="18">
        <f t="shared" si="2"/>
        <v>22</v>
      </c>
      <c r="G29" s="110">
        <f t="shared" si="3"/>
        <v>21.359223300970875</v>
      </c>
      <c r="H29" s="109">
        <f t="shared" si="4"/>
        <v>21.359223300970871</v>
      </c>
      <c r="I29" s="111">
        <f t="shared" si="6"/>
        <v>2.5818248952933693</v>
      </c>
      <c r="K29" s="18"/>
      <c r="L29" s="110"/>
      <c r="M29" s="110"/>
      <c r="N29" s="112"/>
      <c r="O29" s="112"/>
      <c r="Q29" s="112"/>
    </row>
    <row r="30" spans="2:17" x14ac:dyDescent="0.25">
      <c r="B30" s="18">
        <f t="shared" si="7"/>
        <v>23</v>
      </c>
      <c r="C30" s="107">
        <f t="shared" si="0"/>
        <v>50.669174842969468</v>
      </c>
      <c r="D30" s="108">
        <f t="shared" si="1"/>
        <v>63.41559176976218</v>
      </c>
      <c r="E30" s="109">
        <f t="shared" si="5"/>
        <v>25.15615651191392</v>
      </c>
      <c r="F30" s="18">
        <f t="shared" si="2"/>
        <v>23</v>
      </c>
      <c r="G30" s="110">
        <f t="shared" si="3"/>
        <v>22.33009708737864</v>
      </c>
      <c r="H30" s="109">
        <f t="shared" si="4"/>
        <v>22.330097087378636</v>
      </c>
      <c r="I30" s="111">
        <f t="shared" si="6"/>
        <v>2.8260594245352841</v>
      </c>
      <c r="K30" s="18"/>
      <c r="L30" s="110"/>
      <c r="M30" s="110"/>
      <c r="N30" s="112"/>
      <c r="O30" s="112"/>
      <c r="Q30" s="112"/>
    </row>
    <row r="31" spans="2:17" x14ac:dyDescent="0.25">
      <c r="B31" s="18">
        <f t="shared" si="7"/>
        <v>24</v>
      </c>
      <c r="C31" s="107">
        <f t="shared" si="0"/>
        <v>49.193373633950948</v>
      </c>
      <c r="D31" s="108">
        <f t="shared" si="1"/>
        <v>62.172148793884489</v>
      </c>
      <c r="E31" s="109">
        <f t="shared" si="5"/>
        <v>26.383177654187556</v>
      </c>
      <c r="F31" s="18">
        <f t="shared" si="2"/>
        <v>24</v>
      </c>
      <c r="G31" s="110">
        <f t="shared" si="3"/>
        <v>23.300970873786408</v>
      </c>
      <c r="H31" s="109">
        <f t="shared" si="4"/>
        <v>23.300970873786405</v>
      </c>
      <c r="I31" s="111">
        <f t="shared" si="6"/>
        <v>3.082206780401151</v>
      </c>
      <c r="K31" s="18"/>
      <c r="L31" s="110"/>
      <c r="M31" s="110"/>
      <c r="N31" s="112"/>
      <c r="O31" s="112"/>
      <c r="Q31" s="112"/>
    </row>
    <row r="32" spans="2:17" x14ac:dyDescent="0.25">
      <c r="B32" s="18">
        <f t="shared" si="7"/>
        <v>25</v>
      </c>
      <c r="C32" s="107">
        <f t="shared" si="0"/>
        <v>47.760556926165968</v>
      </c>
      <c r="D32" s="108">
        <f t="shared" si="1"/>
        <v>60.953087052827932</v>
      </c>
      <c r="E32" s="109">
        <f t="shared" si="5"/>
        <v>27.62222841550313</v>
      </c>
      <c r="F32" s="18">
        <f t="shared" si="2"/>
        <v>25</v>
      </c>
      <c r="G32" s="110">
        <f t="shared" si="3"/>
        <v>24.271844660194173</v>
      </c>
      <c r="H32" s="109">
        <f t="shared" si="4"/>
        <v>24.271844660194169</v>
      </c>
      <c r="I32" s="111">
        <f t="shared" si="6"/>
        <v>3.350383755308961</v>
      </c>
      <c r="K32" s="18"/>
      <c r="L32" s="110"/>
      <c r="M32" s="110"/>
      <c r="N32" s="112"/>
      <c r="O32" s="112"/>
      <c r="Q32" s="112"/>
    </row>
    <row r="33" spans="2:17" x14ac:dyDescent="0.25">
      <c r="B33" s="18">
        <f t="shared" si="7"/>
        <v>26</v>
      </c>
      <c r="C33" s="107">
        <f t="shared" si="0"/>
        <v>46.369472743850444</v>
      </c>
      <c r="D33" s="108">
        <f t="shared" si="1"/>
        <v>59.757928483164633</v>
      </c>
      <c r="E33" s="109">
        <f t="shared" si="5"/>
        <v>28.873426733302193</v>
      </c>
      <c r="F33" s="18">
        <f t="shared" si="2"/>
        <v>26</v>
      </c>
      <c r="G33" s="110">
        <f t="shared" si="3"/>
        <v>25.242718446601941</v>
      </c>
      <c r="H33" s="109">
        <f t="shared" si="4"/>
        <v>25.242718446601938</v>
      </c>
      <c r="I33" s="111">
        <f t="shared" si="6"/>
        <v>3.6307082867002549</v>
      </c>
      <c r="K33" s="18"/>
      <c r="L33" s="110"/>
      <c r="M33" s="110"/>
      <c r="N33" s="112"/>
      <c r="O33" s="112"/>
      <c r="Q33" s="112"/>
    </row>
    <row r="34" spans="2:17" x14ac:dyDescent="0.25">
      <c r="B34" s="18">
        <f t="shared" si="7"/>
        <v>27</v>
      </c>
      <c r="C34" s="107">
        <f t="shared" si="0"/>
        <v>45.018905576553834</v>
      </c>
      <c r="D34" s="108">
        <f t="shared" si="1"/>
        <v>58.586204395259458</v>
      </c>
      <c r="E34" s="109">
        <f t="shared" si="5"/>
        <v>30.136891701275758</v>
      </c>
      <c r="F34" s="18">
        <f t="shared" si="2"/>
        <v>27</v>
      </c>
      <c r="G34" s="110">
        <f t="shared" si="3"/>
        <v>26.21359223300971</v>
      </c>
      <c r="H34" s="109">
        <f t="shared" si="4"/>
        <v>26.21359223300971</v>
      </c>
      <c r="I34" s="111">
        <f t="shared" si="6"/>
        <v>3.9232994682660483</v>
      </c>
      <c r="K34" s="18"/>
      <c r="L34" s="110"/>
      <c r="M34" s="110"/>
      <c r="N34" s="112"/>
      <c r="O34" s="112"/>
      <c r="Q34" s="112"/>
    </row>
    <row r="35" spans="2:17" x14ac:dyDescent="0.25">
      <c r="B35" s="18">
        <f t="shared" si="7"/>
        <v>28</v>
      </c>
      <c r="C35" s="107">
        <f t="shared" si="0"/>
        <v>43.707675317042558</v>
      </c>
      <c r="D35" s="108">
        <f t="shared" si="1"/>
        <v>57.437455289470044</v>
      </c>
      <c r="E35" s="109">
        <f t="shared" si="5"/>
        <v>31.412743580700003</v>
      </c>
      <c r="F35" s="18">
        <f t="shared" si="2"/>
        <v>28</v>
      </c>
      <c r="G35" s="110">
        <f t="shared" si="3"/>
        <v>27.184466019417474</v>
      </c>
      <c r="H35" s="109">
        <f t="shared" si="4"/>
        <v>27.184466019417471</v>
      </c>
      <c r="I35" s="111">
        <f t="shared" si="6"/>
        <v>4.2282775612825318</v>
      </c>
      <c r="K35" s="18"/>
      <c r="L35" s="110"/>
      <c r="M35" s="110"/>
      <c r="N35" s="112"/>
      <c r="O35" s="112"/>
      <c r="Q35" s="112"/>
    </row>
    <row r="36" spans="2:17" x14ac:dyDescent="0.25">
      <c r="B36" s="18">
        <f t="shared" si="7"/>
        <v>29</v>
      </c>
      <c r="C36" s="107">
        <f t="shared" si="0"/>
        <v>42.434636230138409</v>
      </c>
      <c r="D36" s="108">
        <f t="shared" si="1"/>
        <v>56.31123067595103</v>
      </c>
      <c r="E36" s="109">
        <f t="shared" si="5"/>
        <v>32.701103811883343</v>
      </c>
      <c r="F36" s="18">
        <f t="shared" si="2"/>
        <v>29</v>
      </c>
      <c r="G36" s="110">
        <f t="shared" si="3"/>
        <v>28.155339805825243</v>
      </c>
      <c r="H36" s="109">
        <f t="shared" si="4"/>
        <v>28.155339805825236</v>
      </c>
      <c r="I36" s="111">
        <f t="shared" si="6"/>
        <v>4.545764006058107</v>
      </c>
      <c r="K36" s="18"/>
      <c r="L36" s="110"/>
      <c r="M36" s="110"/>
      <c r="N36" s="112"/>
      <c r="O36" s="112"/>
      <c r="Q36" s="112"/>
    </row>
    <row r="37" spans="2:17" x14ac:dyDescent="0.25">
      <c r="B37" s="18">
        <f t="shared" si="7"/>
        <v>30</v>
      </c>
      <c r="C37" s="113">
        <f t="shared" si="0"/>
        <v>41.198675951590694</v>
      </c>
      <c r="D37" s="114">
        <f t="shared" si="1"/>
        <v>55.207088897991198</v>
      </c>
      <c r="E37" s="109">
        <f t="shared" si="5"/>
        <v>34.002095025725296</v>
      </c>
      <c r="F37" s="18">
        <f t="shared" si="2"/>
        <v>30</v>
      </c>
      <c r="G37" s="110">
        <f t="shared" si="3"/>
        <v>29.126213592233007</v>
      </c>
      <c r="H37" s="109">
        <f t="shared" si="4"/>
        <v>29.126213592233004</v>
      </c>
      <c r="I37" s="111">
        <f t="shared" si="6"/>
        <v>4.8758814334922924</v>
      </c>
      <c r="K37" s="18"/>
      <c r="L37" s="110"/>
      <c r="M37" s="110"/>
      <c r="N37" s="112"/>
      <c r="O37" s="112"/>
      <c r="Q37" s="112"/>
    </row>
  </sheetData>
  <mergeCells count="1">
    <mergeCell ref="C6:D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902C3-00F6-4E3B-A763-2F5B214C9099}">
  <dimension ref="A3:F21"/>
  <sheetViews>
    <sheetView zoomScale="89" workbookViewId="0">
      <selection activeCell="C21" sqref="C21"/>
    </sheetView>
  </sheetViews>
  <sheetFormatPr defaultColWidth="10.88671875" defaultRowHeight="15.6" x14ac:dyDescent="0.3"/>
  <cols>
    <col min="1" max="1" width="26.109375" style="82" customWidth="1"/>
    <col min="2" max="2" width="30" style="82" bestFit="1" customWidth="1"/>
    <col min="3" max="3" width="13.21875" style="82" customWidth="1"/>
    <col min="4" max="6" width="12" style="82" customWidth="1"/>
    <col min="7" max="16384" width="10.88671875" style="82"/>
  </cols>
  <sheetData>
    <row r="3" spans="1:6" x14ac:dyDescent="0.3">
      <c r="C3" s="83" t="s">
        <v>67</v>
      </c>
      <c r="D3" s="84">
        <v>1</v>
      </c>
      <c r="E3" s="84">
        <v>2</v>
      </c>
      <c r="F3" s="84">
        <v>3</v>
      </c>
    </row>
    <row r="4" spans="1:6" x14ac:dyDescent="0.3">
      <c r="C4" s="83" t="s">
        <v>59</v>
      </c>
      <c r="D4" s="85">
        <v>5.5276381909547971E-2</v>
      </c>
      <c r="E4" s="85">
        <v>5.8740092695565391E-2</v>
      </c>
      <c r="F4" s="85">
        <v>6.5834895328553328E-2</v>
      </c>
    </row>
    <row r="5" spans="1:6" ht="19.2" x14ac:dyDescent="0.45">
      <c r="C5" s="83" t="s">
        <v>68</v>
      </c>
      <c r="D5" s="86">
        <f>1/(1+D4)^D3</f>
        <v>0.94761904761904747</v>
      </c>
      <c r="E5" s="86">
        <f>1/(1+E4)^E3</f>
        <v>0.89211590296491428</v>
      </c>
      <c r="F5" s="86">
        <f>1/(1+F4)^F3</f>
        <v>0.82590519014871377</v>
      </c>
    </row>
    <row r="7" spans="1:6" x14ac:dyDescent="0.3">
      <c r="C7" s="83" t="s">
        <v>69</v>
      </c>
      <c r="D7" s="82">
        <v>4.5</v>
      </c>
      <c r="E7" s="82">
        <v>4.5</v>
      </c>
      <c r="F7" s="82">
        <v>104.5</v>
      </c>
    </row>
    <row r="8" spans="1:6" x14ac:dyDescent="0.3">
      <c r="D8" s="82">
        <f>D5*D7</f>
        <v>4.2642857142857133</v>
      </c>
      <c r="E8" s="82">
        <f t="shared" ref="E8:F8" si="0">E5*E7</f>
        <v>4.0145215633421145</v>
      </c>
      <c r="F8" s="87">
        <f t="shared" si="0"/>
        <v>86.307092370540587</v>
      </c>
    </row>
    <row r="9" spans="1:6" x14ac:dyDescent="0.3">
      <c r="B9" s="83" t="s">
        <v>257</v>
      </c>
      <c r="C9" s="88">
        <f>SUM(D8:F8)</f>
        <v>94.585899648168407</v>
      </c>
    </row>
    <row r="10" spans="1:6" x14ac:dyDescent="0.3">
      <c r="B10" s="83" t="s">
        <v>256</v>
      </c>
      <c r="C10" s="88">
        <v>92.5</v>
      </c>
    </row>
    <row r="13" spans="1:6" x14ac:dyDescent="0.3">
      <c r="A13" s="201" t="s">
        <v>260</v>
      </c>
    </row>
    <row r="14" spans="1:6" x14ac:dyDescent="0.3">
      <c r="B14" s="228" t="s">
        <v>70</v>
      </c>
      <c r="C14" s="228"/>
    </row>
    <row r="15" spans="1:6" x14ac:dyDescent="0.3">
      <c r="A15" s="82" t="s">
        <v>259</v>
      </c>
      <c r="B15" s="89" t="s">
        <v>258</v>
      </c>
      <c r="C15" s="89" t="s">
        <v>72</v>
      </c>
      <c r="D15" s="89" t="s">
        <v>73</v>
      </c>
      <c r="E15" s="89" t="s">
        <v>74</v>
      </c>
      <c r="F15" s="89" t="s">
        <v>75</v>
      </c>
    </row>
    <row r="16" spans="1:6" ht="19.2" x14ac:dyDescent="0.45">
      <c r="A16" s="90" t="s">
        <v>76</v>
      </c>
      <c r="B16" s="91">
        <v>-4.5</v>
      </c>
      <c r="C16" s="92">
        <f>-B16*D5</f>
        <v>4.2642857142857133</v>
      </c>
      <c r="D16" s="93">
        <f>B16*1</f>
        <v>-4.5</v>
      </c>
      <c r="E16" s="93"/>
      <c r="F16" s="93"/>
    </row>
    <row r="17" spans="1:6" ht="19.2" x14ac:dyDescent="0.45">
      <c r="A17" s="90" t="s">
        <v>77</v>
      </c>
      <c r="B17" s="91">
        <v>-4.5</v>
      </c>
      <c r="C17" s="92">
        <f>-B17*E5</f>
        <v>4.0145215633421145</v>
      </c>
      <c r="D17" s="93"/>
      <c r="E17" s="93">
        <f>B17*1</f>
        <v>-4.5</v>
      </c>
      <c r="F17" s="93"/>
    </row>
    <row r="18" spans="1:6" ht="19.2" x14ac:dyDescent="0.45">
      <c r="A18" s="90" t="s">
        <v>78</v>
      </c>
      <c r="B18" s="91">
        <v>-104.5</v>
      </c>
      <c r="C18" s="94">
        <f>-B18*F5</f>
        <v>86.307092370540587</v>
      </c>
      <c r="D18" s="95"/>
      <c r="E18" s="95"/>
      <c r="F18" s="95">
        <f>B18*1</f>
        <v>-104.5</v>
      </c>
    </row>
    <row r="19" spans="1:6" x14ac:dyDescent="0.3">
      <c r="A19" s="83" t="s">
        <v>79</v>
      </c>
      <c r="B19" s="200"/>
      <c r="C19" s="92">
        <f>SUM(C16:C18)</f>
        <v>94.585899648168407</v>
      </c>
      <c r="D19" s="93">
        <f>SUM(D16:D18)</f>
        <v>-4.5</v>
      </c>
      <c r="E19" s="93">
        <f>SUM(E16:E18)</f>
        <v>-4.5</v>
      </c>
      <c r="F19" s="93">
        <f>SUM(F16:F18)</f>
        <v>-104.5</v>
      </c>
    </row>
    <row r="20" spans="1:6" x14ac:dyDescent="0.3">
      <c r="A20" s="83" t="s">
        <v>261</v>
      </c>
      <c r="B20" s="96">
        <v>1</v>
      </c>
      <c r="C20" s="97">
        <f>-B20*C10</f>
        <v>-92.5</v>
      </c>
      <c r="D20" s="98">
        <f>$B$20*D7</f>
        <v>4.5</v>
      </c>
      <c r="E20" s="98">
        <f t="shared" ref="E20:F20" si="1">$B$20*E7</f>
        <v>4.5</v>
      </c>
      <c r="F20" s="98">
        <f t="shared" si="1"/>
        <v>104.5</v>
      </c>
    </row>
    <row r="21" spans="1:6" x14ac:dyDescent="0.3">
      <c r="A21" s="99" t="s">
        <v>80</v>
      </c>
      <c r="B21" s="100"/>
      <c r="C21" s="101">
        <f>+C19+C20</f>
        <v>2.0858996481684073</v>
      </c>
      <c r="D21" s="93">
        <f>+D19+D20</f>
        <v>0</v>
      </c>
      <c r="E21" s="93">
        <f>+E19+E20</f>
        <v>0</v>
      </c>
      <c r="F21" s="93">
        <f>+F19+F20</f>
        <v>0</v>
      </c>
    </row>
  </sheetData>
  <mergeCells count="1">
    <mergeCell ref="B14:C1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10D88-3907-49B2-B316-8C37FB782FBD}">
  <dimension ref="A1:D35"/>
  <sheetViews>
    <sheetView workbookViewId="0">
      <selection activeCell="C7" sqref="C7"/>
    </sheetView>
  </sheetViews>
  <sheetFormatPr defaultRowHeight="14.4" x14ac:dyDescent="0.3"/>
  <cols>
    <col min="1" max="1" width="39.21875" customWidth="1"/>
    <col min="2" max="2" width="40" style="116" customWidth="1"/>
    <col min="3" max="3" width="25" style="116" customWidth="1"/>
    <col min="4" max="4" width="20" customWidth="1"/>
  </cols>
  <sheetData>
    <row r="1" spans="1:3" ht="18" x14ac:dyDescent="0.35">
      <c r="A1" s="115"/>
    </row>
    <row r="3" spans="1:3" x14ac:dyDescent="0.3">
      <c r="A3" s="117" t="s">
        <v>93</v>
      </c>
    </row>
    <row r="4" spans="1:3" x14ac:dyDescent="0.3">
      <c r="A4" s="117" t="s">
        <v>94</v>
      </c>
    </row>
    <row r="5" spans="1:3" x14ac:dyDescent="0.3">
      <c r="A5" s="118" t="s">
        <v>85</v>
      </c>
      <c r="B5" s="118" t="s">
        <v>95</v>
      </c>
      <c r="C5" s="118" t="s">
        <v>96</v>
      </c>
    </row>
    <row r="6" spans="1:3" x14ac:dyDescent="0.3">
      <c r="A6">
        <v>1</v>
      </c>
      <c r="B6" s="119">
        <v>0.04</v>
      </c>
      <c r="C6" s="120">
        <f>1/(1+B6)^A6</f>
        <v>0.96153846153846145</v>
      </c>
    </row>
    <row r="7" spans="1:3" x14ac:dyDescent="0.3">
      <c r="A7">
        <v>2</v>
      </c>
      <c r="B7" s="119">
        <v>5.2499999999999998E-2</v>
      </c>
      <c r="C7" s="120">
        <f>1/(1+B7)^A7</f>
        <v>0.90272566731173942</v>
      </c>
    </row>
    <row r="8" spans="1:3" x14ac:dyDescent="0.3">
      <c r="A8">
        <v>3</v>
      </c>
      <c r="B8" s="119">
        <v>5.5E-2</v>
      </c>
      <c r="C8" s="120">
        <f>1/(1+B8)^A8</f>
        <v>0.85161366418382267</v>
      </c>
    </row>
    <row r="12" spans="1:3" x14ac:dyDescent="0.3">
      <c r="A12" s="117" t="s">
        <v>97</v>
      </c>
    </row>
    <row r="13" spans="1:3" x14ac:dyDescent="0.3">
      <c r="A13" s="118" t="s">
        <v>98</v>
      </c>
      <c r="B13" s="118" t="s">
        <v>99</v>
      </c>
      <c r="C13" s="118" t="s">
        <v>100</v>
      </c>
    </row>
    <row r="14" spans="1:3" x14ac:dyDescent="0.3">
      <c r="A14">
        <v>1</v>
      </c>
      <c r="B14" s="116">
        <v>2</v>
      </c>
      <c r="C14" s="121">
        <f>((1+$B$7)^2)/((1+$B$6)^1)-1</f>
        <v>6.5150240384615365E-2</v>
      </c>
    </row>
    <row r="15" spans="1:3" x14ac:dyDescent="0.3">
      <c r="A15">
        <v>2</v>
      </c>
      <c r="B15" s="116">
        <v>3</v>
      </c>
      <c r="C15" s="121">
        <f>((1+$B$8)^3)/((1+$B$7)^2)-1</f>
        <v>6.0017828831929299E-2</v>
      </c>
    </row>
    <row r="16" spans="1:3" x14ac:dyDescent="0.3">
      <c r="A16">
        <v>1</v>
      </c>
      <c r="B16" s="116">
        <v>3</v>
      </c>
      <c r="C16" s="121">
        <f>(((1+$B$8)^3)/((1+$B$6)^1))^(1/(3-1))-1</f>
        <v>6.2580935831387574E-2</v>
      </c>
    </row>
    <row r="18" spans="1:4" x14ac:dyDescent="0.3">
      <c r="A18" s="117" t="s">
        <v>101</v>
      </c>
    </row>
    <row r="19" spans="1:4" x14ac:dyDescent="0.3">
      <c r="A19" t="s">
        <v>102</v>
      </c>
      <c r="B19" s="122">
        <f>10000*(1+B7)^2</f>
        <v>11077.5625</v>
      </c>
    </row>
    <row r="20" spans="1:4" x14ac:dyDescent="0.3">
      <c r="A20" t="s">
        <v>103</v>
      </c>
      <c r="B20" s="122">
        <f>10000*(1+B6)*(1+0.0675)</f>
        <v>11101.999999999998</v>
      </c>
    </row>
    <row r="21" spans="1:4" x14ac:dyDescent="0.3">
      <c r="A21" t="s">
        <v>104</v>
      </c>
      <c r="B21" s="116" t="s">
        <v>103</v>
      </c>
    </row>
    <row r="23" spans="1:4" x14ac:dyDescent="0.3">
      <c r="A23" s="117" t="s">
        <v>105</v>
      </c>
    </row>
    <row r="24" spans="1:4" x14ac:dyDescent="0.3">
      <c r="A24" t="s">
        <v>106</v>
      </c>
      <c r="B24" s="123">
        <f>3*$C$6 + 3*$C$7 + (3+100)*$C$8</f>
        <v>93.308999797484333</v>
      </c>
    </row>
    <row r="25" spans="1:4" x14ac:dyDescent="0.3">
      <c r="A25" t="s">
        <v>107</v>
      </c>
      <c r="B25" s="123">
        <f>10*$C$6 + 10*$C$7 + (10+100)*$C$8</f>
        <v>112.32014434872249</v>
      </c>
    </row>
    <row r="27" spans="1:4" x14ac:dyDescent="0.3">
      <c r="A27" s="117" t="s">
        <v>108</v>
      </c>
    </row>
    <row r="28" spans="1:4" x14ac:dyDescent="0.3">
      <c r="A28" s="117" t="s">
        <v>109</v>
      </c>
      <c r="B28" s="118" t="s">
        <v>71</v>
      </c>
      <c r="C28" s="118" t="s">
        <v>110</v>
      </c>
      <c r="D28" s="117" t="s">
        <v>111</v>
      </c>
    </row>
    <row r="29" spans="1:4" x14ac:dyDescent="0.3">
      <c r="A29">
        <v>1</v>
      </c>
      <c r="B29" s="116">
        <v>3</v>
      </c>
      <c r="C29" s="120">
        <f>$C$6</f>
        <v>0.96153846153846145</v>
      </c>
      <c r="D29" s="124">
        <f>B29*C29</f>
        <v>2.8846153846153841</v>
      </c>
    </row>
    <row r="30" spans="1:4" x14ac:dyDescent="0.3">
      <c r="A30">
        <v>2</v>
      </c>
      <c r="B30" s="116">
        <v>3</v>
      </c>
      <c r="C30" s="120">
        <f>$C$7</f>
        <v>0.90272566731173942</v>
      </c>
      <c r="D30" s="124">
        <f>B30*C30</f>
        <v>2.7081770019352183</v>
      </c>
    </row>
    <row r="31" spans="1:4" x14ac:dyDescent="0.3">
      <c r="A31">
        <v>3</v>
      </c>
      <c r="B31" s="116">
        <v>103</v>
      </c>
      <c r="C31" s="120">
        <f>$C$8</f>
        <v>0.85161366418382267</v>
      </c>
      <c r="D31" s="124">
        <f>B31*C31</f>
        <v>87.716207410933734</v>
      </c>
    </row>
    <row r="32" spans="1:4" x14ac:dyDescent="0.3">
      <c r="C32" s="118" t="s">
        <v>112</v>
      </c>
      <c r="D32" s="124">
        <f>SUM(D29:D31)</f>
        <v>93.308999797484333</v>
      </c>
    </row>
    <row r="33" spans="1:4" x14ac:dyDescent="0.3">
      <c r="C33" s="118" t="s">
        <v>113</v>
      </c>
      <c r="D33" s="124">
        <v>95</v>
      </c>
    </row>
    <row r="34" spans="1:4" x14ac:dyDescent="0.3">
      <c r="C34" s="118" t="s">
        <v>114</v>
      </c>
      <c r="D34" s="124">
        <f>D33-D32</f>
        <v>1.6910002025156672</v>
      </c>
    </row>
    <row r="35" spans="1:4" ht="115.2" x14ac:dyDescent="0.3">
      <c r="A35" s="117" t="s">
        <v>115</v>
      </c>
      <c r="B35" s="125" t="s">
        <v>116</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072D1-FE1B-42EC-8E34-A48CEFF166A9}">
  <dimension ref="A1:K42"/>
  <sheetViews>
    <sheetView topLeftCell="B1" workbookViewId="0">
      <selection activeCell="H20" sqref="H20"/>
    </sheetView>
  </sheetViews>
  <sheetFormatPr defaultRowHeight="14.4" x14ac:dyDescent="0.3"/>
  <cols>
    <col min="2" max="2" width="12.88671875" bestFit="1" customWidth="1"/>
    <col min="3" max="3" width="16.44140625" bestFit="1" customWidth="1"/>
    <col min="4" max="4" width="12.6640625" bestFit="1" customWidth="1"/>
    <col min="7" max="7" width="19.109375" customWidth="1"/>
  </cols>
  <sheetData>
    <row r="1" spans="1:11" ht="21" x14ac:dyDescent="0.4">
      <c r="A1" s="129" t="s">
        <v>141</v>
      </c>
      <c r="K1" s="129" t="s">
        <v>142</v>
      </c>
    </row>
    <row r="2" spans="1:11" x14ac:dyDescent="0.3">
      <c r="A2" s="126" t="s">
        <v>118</v>
      </c>
      <c r="B2" s="126" t="s">
        <v>119</v>
      </c>
      <c r="C2" s="126" t="s">
        <v>120</v>
      </c>
      <c r="D2" s="126" t="s">
        <v>121</v>
      </c>
      <c r="F2" s="127" t="s">
        <v>122</v>
      </c>
      <c r="G2" s="127" t="s">
        <v>58</v>
      </c>
      <c r="H2" s="127" t="s">
        <v>123</v>
      </c>
      <c r="I2" s="127" t="s">
        <v>124</v>
      </c>
    </row>
    <row r="3" spans="1:11" x14ac:dyDescent="0.3">
      <c r="A3">
        <v>1</v>
      </c>
      <c r="B3">
        <f>1/((1+$F$3)^1)</f>
        <v>0.96618357487922713</v>
      </c>
      <c r="C3">
        <f t="shared" ref="C3:C22" si="0">$B3*$G$3</f>
        <v>38647.342995169085</v>
      </c>
      <c r="D3">
        <f>$G$3*((1/$F$3)*(1-1/((1+$F$3)^A3)))</f>
        <v>38647.342995168998</v>
      </c>
      <c r="F3">
        <v>3.5000000000000003E-2</v>
      </c>
      <c r="G3">
        <v>40000</v>
      </c>
      <c r="H3">
        <f>1/F3</f>
        <v>28.571428571428569</v>
      </c>
      <c r="I3">
        <f>1/(1.035)^A3</f>
        <v>0.96618357487922713</v>
      </c>
    </row>
    <row r="4" spans="1:11" x14ac:dyDescent="0.3">
      <c r="A4">
        <v>2</v>
      </c>
      <c r="B4">
        <f>1/((1+$F$3)^2)</f>
        <v>0.93351070036640305</v>
      </c>
      <c r="C4">
        <f>$B4*$G$3</f>
        <v>37340.428014656121</v>
      </c>
      <c r="D4">
        <f t="shared" ref="D4:D22" si="1">$G$3*((1/$F$3)*(1-1/((1+$F$3)^A4)))</f>
        <v>75987.771009825083</v>
      </c>
    </row>
    <row r="5" spans="1:11" x14ac:dyDescent="0.3">
      <c r="A5">
        <v>3</v>
      </c>
      <c r="B5">
        <f>1/((1+$F$3)^3)</f>
        <v>0.90194270566802237</v>
      </c>
      <c r="C5">
        <f t="shared" si="0"/>
        <v>36077.708226720897</v>
      </c>
      <c r="D5">
        <f t="shared" si="1"/>
        <v>112065.47923654586</v>
      </c>
    </row>
    <row r="6" spans="1:11" x14ac:dyDescent="0.3">
      <c r="A6">
        <v>4</v>
      </c>
      <c r="B6">
        <f>1/((1+$F$3)^4)</f>
        <v>0.87144222769857238</v>
      </c>
      <c r="C6">
        <f t="shared" si="0"/>
        <v>34857.689107942897</v>
      </c>
      <c r="D6">
        <f t="shared" si="1"/>
        <v>146923.16834448869</v>
      </c>
    </row>
    <row r="7" spans="1:11" x14ac:dyDescent="0.3">
      <c r="A7">
        <v>5</v>
      </c>
      <c r="B7">
        <f>1/((1+$F$3)^5)</f>
        <v>0.84197316685852419</v>
      </c>
      <c r="C7">
        <f t="shared" si="0"/>
        <v>33678.926674340968</v>
      </c>
      <c r="D7">
        <f t="shared" si="1"/>
        <v>180602.09501882948</v>
      </c>
    </row>
    <row r="8" spans="1:11" x14ac:dyDescent="0.3">
      <c r="A8">
        <v>6</v>
      </c>
      <c r="B8">
        <f>1/((1+$F$3)^6)</f>
        <v>0.81350064430775282</v>
      </c>
      <c r="C8">
        <f t="shared" si="0"/>
        <v>32540.025772310113</v>
      </c>
      <c r="D8">
        <f t="shared" si="1"/>
        <v>213142.1207911396</v>
      </c>
    </row>
    <row r="9" spans="1:11" x14ac:dyDescent="0.3">
      <c r="A9">
        <v>7</v>
      </c>
      <c r="B9">
        <f>1/((1+$F$3)^7)</f>
        <v>0.78599096068381913</v>
      </c>
      <c r="C9">
        <f t="shared" si="0"/>
        <v>31439.638427352766</v>
      </c>
      <c r="D9">
        <f t="shared" si="1"/>
        <v>244581.7592184924</v>
      </c>
    </row>
    <row r="10" spans="1:11" x14ac:dyDescent="0.3">
      <c r="A10">
        <v>8</v>
      </c>
      <c r="B10">
        <f>1/((1+$F$3)^8)</f>
        <v>0.75941155621625056</v>
      </c>
      <c r="C10">
        <f t="shared" si="0"/>
        <v>30376.462248650023</v>
      </c>
      <c r="D10">
        <f t="shared" si="1"/>
        <v>274958.22146714217</v>
      </c>
    </row>
    <row r="11" spans="1:11" x14ac:dyDescent="0.3">
      <c r="A11">
        <v>9</v>
      </c>
      <c r="B11">
        <f>1/((1+$F$3)^9)</f>
        <v>0.73373097218961414</v>
      </c>
      <c r="C11">
        <f t="shared" si="0"/>
        <v>29349.238887584565</v>
      </c>
      <c r="D11">
        <f t="shared" si="1"/>
        <v>304307.4603547267</v>
      </c>
    </row>
    <row r="12" spans="1:11" x14ac:dyDescent="0.3">
      <c r="A12">
        <v>10</v>
      </c>
      <c r="B12">
        <f>1/((1+$F$3)^10)</f>
        <v>0.70891881370977217</v>
      </c>
      <c r="C12">
        <f t="shared" si="0"/>
        <v>28356.752548390887</v>
      </c>
      <c r="D12">
        <f t="shared" si="1"/>
        <v>332664.21290311747</v>
      </c>
    </row>
    <row r="13" spans="1:11" x14ac:dyDescent="0.3">
      <c r="A13">
        <v>11</v>
      </c>
      <c r="B13">
        <f>1/((1+$F$3)^11)</f>
        <v>0.68494571372924851</v>
      </c>
      <c r="C13">
        <f t="shared" si="0"/>
        <v>27397.828549169939</v>
      </c>
      <c r="D13">
        <f t="shared" si="1"/>
        <v>360062.04145228735</v>
      </c>
    </row>
    <row r="14" spans="1:11" x14ac:dyDescent="0.3">
      <c r="A14">
        <v>12</v>
      </c>
      <c r="B14">
        <f>1/((1+$F$3)^12)</f>
        <v>0.66178329828912896</v>
      </c>
      <c r="C14">
        <f t="shared" si="0"/>
        <v>26471.331931565157</v>
      </c>
      <c r="D14">
        <f t="shared" si="1"/>
        <v>386533.37338385254</v>
      </c>
    </row>
    <row r="15" spans="1:11" x14ac:dyDescent="0.3">
      <c r="A15">
        <v>13</v>
      </c>
      <c r="B15">
        <f>1/((1+$F$3)^13)</f>
        <v>0.63940415293635666</v>
      </c>
      <c r="C15">
        <f t="shared" si="0"/>
        <v>25576.166117454268</v>
      </c>
      <c r="D15">
        <f t="shared" si="1"/>
        <v>412109.53950130666</v>
      </c>
    </row>
    <row r="16" spans="1:11" x14ac:dyDescent="0.3">
      <c r="A16">
        <v>14</v>
      </c>
      <c r="B16">
        <f>1/((1+$F$3)^14)</f>
        <v>0.61778179027667302</v>
      </c>
      <c r="C16">
        <f t="shared" si="0"/>
        <v>24711.271611066921</v>
      </c>
      <c r="D16">
        <f t="shared" si="1"/>
        <v>436820.81111237366</v>
      </c>
    </row>
    <row r="17" spans="1:10" x14ac:dyDescent="0.3">
      <c r="A17">
        <v>15</v>
      </c>
      <c r="B17">
        <f>1/((1+$F$3)^15)</f>
        <v>0.59689061862480497</v>
      </c>
      <c r="C17">
        <f t="shared" si="0"/>
        <v>23875.624744992198</v>
      </c>
      <c r="D17">
        <f t="shared" si="1"/>
        <v>460696.43585736572</v>
      </c>
    </row>
    <row r="18" spans="1:10" x14ac:dyDescent="0.3">
      <c r="A18">
        <v>16</v>
      </c>
      <c r="B18">
        <f>1/((1+$F$3)^16)</f>
        <v>0.57670591171478747</v>
      </c>
      <c r="C18">
        <f t="shared" si="0"/>
        <v>23068.236468591498</v>
      </c>
      <c r="D18">
        <f t="shared" si="1"/>
        <v>483764.67232595716</v>
      </c>
    </row>
    <row r="19" spans="1:10" x14ac:dyDescent="0.3">
      <c r="A19">
        <v>17</v>
      </c>
      <c r="B19">
        <f>1/((1+$F$3)^17)</f>
        <v>0.55720377943457733</v>
      </c>
      <c r="C19">
        <f t="shared" si="0"/>
        <v>22288.151177383093</v>
      </c>
      <c r="D19">
        <f t="shared" si="1"/>
        <v>506052.82350334013</v>
      </c>
    </row>
    <row r="20" spans="1:10" x14ac:dyDescent="0.3">
      <c r="A20">
        <v>18</v>
      </c>
      <c r="B20">
        <f>1/((1+$F$3)^18)</f>
        <v>0.53836113955031628</v>
      </c>
      <c r="C20">
        <f t="shared" si="0"/>
        <v>21534.44558201265</v>
      </c>
      <c r="D20">
        <f t="shared" si="1"/>
        <v>527587.26908535277</v>
      </c>
    </row>
    <row r="21" spans="1:10" x14ac:dyDescent="0.3">
      <c r="A21">
        <v>19</v>
      </c>
      <c r="B21">
        <f>1/((1+$F$3)^19)</f>
        <v>0.52015569038677911</v>
      </c>
      <c r="C21">
        <f t="shared" si="0"/>
        <v>20806.227615471165</v>
      </c>
      <c r="D21">
        <f t="shared" si="1"/>
        <v>548393.49670082389</v>
      </c>
    </row>
    <row r="22" spans="1:10" x14ac:dyDescent="0.3">
      <c r="A22">
        <v>20</v>
      </c>
      <c r="B22">
        <f>1/((1+$F$3)^20)</f>
        <v>0.50256588443167061</v>
      </c>
      <c r="C22">
        <f t="shared" si="0"/>
        <v>20102.635377266823</v>
      </c>
      <c r="D22">
        <f t="shared" si="1"/>
        <v>568496.13207809068</v>
      </c>
    </row>
    <row r="24" spans="1:10" x14ac:dyDescent="0.3">
      <c r="C24" s="126" t="s">
        <v>125</v>
      </c>
      <c r="D24">
        <f>SUM(C3:C22)</f>
        <v>568496.13207809196</v>
      </c>
    </row>
    <row r="25" spans="1:10" x14ac:dyDescent="0.3">
      <c r="C25" s="126" t="s">
        <v>126</v>
      </c>
      <c r="D25">
        <f>($G$3/$F$3)*(1-1/((1+$F$3)^20))</f>
        <v>568496.13207809068</v>
      </c>
    </row>
    <row r="28" spans="1:10" ht="21" x14ac:dyDescent="0.4">
      <c r="A28" s="129" t="s">
        <v>134</v>
      </c>
    </row>
    <row r="29" spans="1:10" x14ac:dyDescent="0.3">
      <c r="A29" s="128" t="s">
        <v>50</v>
      </c>
      <c r="B29" s="128" t="s">
        <v>127</v>
      </c>
      <c r="C29" s="128" t="s">
        <v>128</v>
      </c>
      <c r="D29" s="128" t="s">
        <v>55</v>
      </c>
      <c r="E29" s="128" t="s">
        <v>129</v>
      </c>
      <c r="F29" s="128" t="s">
        <v>130</v>
      </c>
      <c r="G29" s="128" t="s">
        <v>131</v>
      </c>
      <c r="H29" s="128" t="s">
        <v>132</v>
      </c>
      <c r="I29" s="128" t="s">
        <v>133</v>
      </c>
      <c r="J29" s="128" t="s">
        <v>51</v>
      </c>
    </row>
    <row r="30" spans="1:10" x14ac:dyDescent="0.3">
      <c r="A30" t="s">
        <v>56</v>
      </c>
      <c r="B30">
        <v>0.05</v>
      </c>
      <c r="C30">
        <v>9</v>
      </c>
      <c r="D30">
        <v>0.04</v>
      </c>
      <c r="E30">
        <f>C30*2</f>
        <v>18</v>
      </c>
      <c r="F30">
        <f>D30/2</f>
        <v>0.02</v>
      </c>
      <c r="G30">
        <f>B30/2*1000</f>
        <v>25</v>
      </c>
      <c r="H30">
        <f>IF(G30=0,0,G30*(1-(1+F30)^(-E30))/F30)</f>
        <v>374.80078129297084</v>
      </c>
      <c r="I30">
        <f>1000/(1+F30)^E30</f>
        <v>700.15937496562333</v>
      </c>
      <c r="J30">
        <f>H30+I30</f>
        <v>1074.9601562585942</v>
      </c>
    </row>
    <row r="31" spans="1:10" x14ac:dyDescent="0.3">
      <c r="A31" t="s">
        <v>57</v>
      </c>
      <c r="B31">
        <v>7.0000000000000007E-2</v>
      </c>
      <c r="C31">
        <v>12</v>
      </c>
      <c r="D31">
        <v>7.0000000000000007E-2</v>
      </c>
      <c r="E31">
        <f>C31*2</f>
        <v>24</v>
      </c>
      <c r="F31">
        <f>D31/2</f>
        <v>3.5000000000000003E-2</v>
      </c>
      <c r="G31">
        <f>B31/2*1000</f>
        <v>35</v>
      </c>
      <c r="H31">
        <f>IF(G31=0,0,G31*(1-(1+F31)^(-E31))/F31)</f>
        <v>562.04286610556164</v>
      </c>
      <c r="I31">
        <f>1000/(1+F31)^E31</f>
        <v>437.95713389443841</v>
      </c>
      <c r="J31">
        <f>H31+I31</f>
        <v>1000</v>
      </c>
    </row>
    <row r="32" spans="1:10" x14ac:dyDescent="0.3">
      <c r="A32" t="s">
        <v>58</v>
      </c>
      <c r="B32">
        <v>5.5E-2</v>
      </c>
      <c r="C32">
        <v>15</v>
      </c>
      <c r="D32">
        <v>4.3999999999999997E-2</v>
      </c>
      <c r="E32">
        <f>C32*2</f>
        <v>30</v>
      </c>
      <c r="F32">
        <f>D32/2</f>
        <v>2.1999999999999999E-2</v>
      </c>
      <c r="G32">
        <f>B32/2*1000</f>
        <v>27.5</v>
      </c>
      <c r="H32">
        <f>IF(G32=0,0,G32*(1-(1+F32)^(-E32))/F32)</f>
        <v>599.29650550385384</v>
      </c>
      <c r="I32">
        <f>1000/(1+F32)^E32</f>
        <v>520.562795596917</v>
      </c>
      <c r="J32">
        <f>H32+I32</f>
        <v>1119.8593011007708</v>
      </c>
    </row>
    <row r="33" spans="1:10" x14ac:dyDescent="0.3">
      <c r="A33" t="s">
        <v>65</v>
      </c>
      <c r="B33">
        <v>0</v>
      </c>
      <c r="C33">
        <v>20</v>
      </c>
      <c r="D33">
        <v>0.03</v>
      </c>
      <c r="E33">
        <f>C33*2</f>
        <v>40</v>
      </c>
      <c r="F33">
        <f>D33/2</f>
        <v>1.4999999999999999E-2</v>
      </c>
      <c r="G33">
        <f>B33/2*1000</f>
        <v>0</v>
      </c>
      <c r="H33">
        <f>IF(G33=0,0,G33*(1-(1+F33)^(-E33))/F33)</f>
        <v>0</v>
      </c>
      <c r="I33">
        <f>1000/(1+F33)^E33</f>
        <v>551.26232193738451</v>
      </c>
      <c r="J33">
        <f>H33+I33</f>
        <v>551.26232193738451</v>
      </c>
    </row>
    <row r="37" spans="1:10" ht="21" x14ac:dyDescent="0.4">
      <c r="A37" s="129" t="s">
        <v>140</v>
      </c>
    </row>
    <row r="38" spans="1:10" x14ac:dyDescent="0.3">
      <c r="A38" s="128" t="s">
        <v>50</v>
      </c>
      <c r="B38" s="128" t="s">
        <v>127</v>
      </c>
      <c r="C38" s="128" t="s">
        <v>128</v>
      </c>
      <c r="D38" s="128" t="s">
        <v>51</v>
      </c>
      <c r="E38" s="128" t="s">
        <v>129</v>
      </c>
      <c r="F38" s="128" t="s">
        <v>131</v>
      </c>
      <c r="G38" s="128" t="s">
        <v>135</v>
      </c>
    </row>
    <row r="39" spans="1:10" x14ac:dyDescent="0.3">
      <c r="A39" t="s">
        <v>136</v>
      </c>
      <c r="B39">
        <v>0.06</v>
      </c>
      <c r="C39">
        <v>7</v>
      </c>
      <c r="D39">
        <v>945.4</v>
      </c>
      <c r="E39">
        <f>C39*2</f>
        <v>14</v>
      </c>
      <c r="F39">
        <f>B39/2*1000</f>
        <v>30</v>
      </c>
      <c r="G39">
        <f>RATE(E39,F39,-D39,1000)*2</f>
        <v>6.9999507044019943E-2</v>
      </c>
    </row>
    <row r="40" spans="1:10" x14ac:dyDescent="0.3">
      <c r="A40" t="s">
        <v>137</v>
      </c>
      <c r="B40">
        <v>4.4999999999999998E-2</v>
      </c>
      <c r="C40">
        <v>4</v>
      </c>
      <c r="D40">
        <v>1018.31</v>
      </c>
      <c r="E40">
        <f>C40*2</f>
        <v>8</v>
      </c>
      <c r="F40">
        <f>B40/2*1000</f>
        <v>22.5</v>
      </c>
      <c r="G40">
        <f>RATE(E40,F40,-D40,1000)*2</f>
        <v>4.0001000379245727E-2</v>
      </c>
    </row>
    <row r="41" spans="1:10" x14ac:dyDescent="0.3">
      <c r="A41" t="s">
        <v>138</v>
      </c>
      <c r="B41">
        <v>7.0000000000000007E-2</v>
      </c>
      <c r="C41">
        <v>5</v>
      </c>
      <c r="D41">
        <v>959.45</v>
      </c>
      <c r="E41">
        <f>C41*2</f>
        <v>10</v>
      </c>
      <c r="F41">
        <f>B41/2*1000</f>
        <v>35</v>
      </c>
      <c r="G41">
        <f>RATE(E41,F41,-D41,1000)*2</f>
        <v>7.9998867397112164E-2</v>
      </c>
    </row>
    <row r="42" spans="1:10" x14ac:dyDescent="0.3">
      <c r="A42" t="s">
        <v>139</v>
      </c>
      <c r="B42">
        <v>0</v>
      </c>
      <c r="C42">
        <v>10</v>
      </c>
      <c r="D42">
        <v>553.67999999999995</v>
      </c>
      <c r="E42">
        <f>C42*2</f>
        <v>20</v>
      </c>
      <c r="F42">
        <f>B42/2*1000</f>
        <v>0</v>
      </c>
      <c r="G42">
        <f>RATE(E42,F42,-D42,1000)*2</f>
        <v>5.9999210156768325E-2</v>
      </c>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1037C-43CE-4C82-BBE0-F728DDDA719C}">
  <dimension ref="B12:I109"/>
  <sheetViews>
    <sheetView topLeftCell="A79" workbookViewId="0">
      <selection activeCell="G99" sqref="G99"/>
    </sheetView>
  </sheetViews>
  <sheetFormatPr defaultRowHeight="14.4" x14ac:dyDescent="0.3"/>
  <cols>
    <col min="2" max="2" width="13.6640625" customWidth="1"/>
    <col min="4" max="4" width="18.21875" bestFit="1" customWidth="1"/>
    <col min="5" max="5" width="12" bestFit="1" customWidth="1"/>
    <col min="6" max="6" width="16.6640625" bestFit="1" customWidth="1"/>
    <col min="7" max="7" width="11.6640625" customWidth="1"/>
    <col min="8" max="8" width="10.109375" bestFit="1" customWidth="1"/>
    <col min="9" max="9" width="12" bestFit="1" customWidth="1"/>
  </cols>
  <sheetData>
    <row r="12" spans="2:7" x14ac:dyDescent="0.3">
      <c r="B12" s="130" t="s">
        <v>85</v>
      </c>
      <c r="C12" s="130" t="s">
        <v>171</v>
      </c>
      <c r="D12" s="130" t="s">
        <v>144</v>
      </c>
      <c r="E12" s="130" t="s">
        <v>145</v>
      </c>
      <c r="F12" s="130" t="s">
        <v>146</v>
      </c>
      <c r="G12" s="130" t="s">
        <v>147</v>
      </c>
    </row>
    <row r="13" spans="2:7" x14ac:dyDescent="0.3">
      <c r="B13">
        <v>1</v>
      </c>
      <c r="C13">
        <v>0.97087000000000001</v>
      </c>
      <c r="D13">
        <v>5</v>
      </c>
      <c r="E13">
        <f>D13*C13</f>
        <v>4.8543500000000002</v>
      </c>
      <c r="F13">
        <v>8</v>
      </c>
      <c r="G13">
        <f>F13*C13</f>
        <v>7.7669600000000001</v>
      </c>
    </row>
    <row r="14" spans="2:7" x14ac:dyDescent="0.3">
      <c r="B14">
        <v>2</v>
      </c>
      <c r="C14">
        <v>0.90703</v>
      </c>
      <c r="D14">
        <v>5</v>
      </c>
      <c r="E14">
        <f>D14*C14</f>
        <v>4.5351499999999998</v>
      </c>
      <c r="F14">
        <v>8</v>
      </c>
      <c r="G14">
        <f>F14*C14</f>
        <v>7.25624</v>
      </c>
    </row>
    <row r="15" spans="2:7" x14ac:dyDescent="0.3">
      <c r="B15">
        <v>3</v>
      </c>
      <c r="C15">
        <v>0.81630000000000003</v>
      </c>
      <c r="D15">
        <v>105</v>
      </c>
      <c r="E15">
        <f>D15*C15</f>
        <v>85.711500000000001</v>
      </c>
      <c r="F15">
        <v>108</v>
      </c>
      <c r="G15">
        <f>F15*C15</f>
        <v>88.16040000000001</v>
      </c>
    </row>
    <row r="16" spans="2:7" x14ac:dyDescent="0.3">
      <c r="C16" t="s">
        <v>51</v>
      </c>
      <c r="E16">
        <f>SUM(E13:E15)</f>
        <v>95.100999999999999</v>
      </c>
      <c r="G16">
        <f>SUM(G13:G15)</f>
        <v>103.18360000000001</v>
      </c>
    </row>
    <row r="39" spans="2:9" x14ac:dyDescent="0.3">
      <c r="B39" s="130" t="s">
        <v>85</v>
      </c>
      <c r="C39" s="130" t="s">
        <v>143</v>
      </c>
      <c r="D39" s="130" t="s">
        <v>144</v>
      </c>
      <c r="E39" s="130" t="s">
        <v>145</v>
      </c>
      <c r="F39" s="130" t="s">
        <v>148</v>
      </c>
      <c r="G39" s="130" t="s">
        <v>146</v>
      </c>
      <c r="H39" s="130" t="s">
        <v>147</v>
      </c>
      <c r="I39" s="130" t="s">
        <v>149</v>
      </c>
    </row>
    <row r="40" spans="2:9" x14ac:dyDescent="0.3">
      <c r="B40">
        <v>1</v>
      </c>
      <c r="C40">
        <v>0.97087000000000001</v>
      </c>
      <c r="D40">
        <v>5</v>
      </c>
      <c r="E40">
        <f>D40*C40</f>
        <v>4.8543500000000002</v>
      </c>
      <c r="F40">
        <f>B40*E40</f>
        <v>4.8543500000000002</v>
      </c>
      <c r="G40">
        <v>8</v>
      </c>
      <c r="H40">
        <f>G40*C40</f>
        <v>7.7669600000000001</v>
      </c>
      <c r="I40">
        <f>B40*H40</f>
        <v>7.7669600000000001</v>
      </c>
    </row>
    <row r="41" spans="2:9" x14ac:dyDescent="0.3">
      <c r="B41">
        <v>2</v>
      </c>
      <c r="C41">
        <v>0.90703</v>
      </c>
      <c r="D41">
        <v>5</v>
      </c>
      <c r="E41">
        <f>D41*C41</f>
        <v>4.5351499999999998</v>
      </c>
      <c r="F41">
        <f>B41*E41</f>
        <v>9.0702999999999996</v>
      </c>
      <c r="G41">
        <v>8</v>
      </c>
      <c r="H41">
        <f>G41*C41</f>
        <v>7.25624</v>
      </c>
      <c r="I41">
        <f>B41*H41</f>
        <v>14.51248</v>
      </c>
    </row>
    <row r="42" spans="2:9" x14ac:dyDescent="0.3">
      <c r="B42">
        <v>3</v>
      </c>
      <c r="C42">
        <v>0.81630000000000003</v>
      </c>
      <c r="D42">
        <v>105</v>
      </c>
      <c r="E42">
        <f>D42*C42</f>
        <v>85.711500000000001</v>
      </c>
      <c r="F42">
        <f>B42*E42</f>
        <v>257.1345</v>
      </c>
      <c r="G42">
        <v>108</v>
      </c>
      <c r="H42">
        <f>G42*C42</f>
        <v>88.16040000000001</v>
      </c>
      <c r="I42">
        <f>B42*H42</f>
        <v>264.48120000000006</v>
      </c>
    </row>
    <row r="43" spans="2:9" x14ac:dyDescent="0.3">
      <c r="C43" t="s">
        <v>150</v>
      </c>
      <c r="E43">
        <f>SUM(E40:E42)</f>
        <v>95.100999999999999</v>
      </c>
      <c r="F43">
        <f>SUM(F40:F42)</f>
        <v>271.05914999999999</v>
      </c>
      <c r="H43">
        <f>SUM(H40:H42)</f>
        <v>103.18360000000001</v>
      </c>
      <c r="I43">
        <f>SUM(I40:I42)</f>
        <v>286.76064000000008</v>
      </c>
    </row>
    <row r="44" spans="2:9" x14ac:dyDescent="0.3">
      <c r="C44" t="s">
        <v>89</v>
      </c>
      <c r="F44">
        <f>F43/E43</f>
        <v>2.8502239724082816</v>
      </c>
      <c r="I44">
        <f>I43/H43</f>
        <v>2.7791300167856137</v>
      </c>
    </row>
    <row r="84" spans="2:6" x14ac:dyDescent="0.3">
      <c r="B84" s="130" t="s">
        <v>151</v>
      </c>
      <c r="C84" s="130" t="s">
        <v>152</v>
      </c>
      <c r="D84" s="130" t="s">
        <v>153</v>
      </c>
      <c r="E84" s="130" t="s">
        <v>154</v>
      </c>
    </row>
    <row r="85" spans="2:6" x14ac:dyDescent="0.3">
      <c r="B85" t="s">
        <v>155</v>
      </c>
      <c r="C85">
        <v>0.05</v>
      </c>
      <c r="D85">
        <v>0.05</v>
      </c>
      <c r="E85">
        <v>0.05</v>
      </c>
    </row>
    <row r="86" spans="2:6" x14ac:dyDescent="0.3">
      <c r="B86" t="s">
        <v>156</v>
      </c>
      <c r="C86">
        <v>5.0099999999999999E-2</v>
      </c>
      <c r="D86">
        <v>5.0099999999999999E-2</v>
      </c>
      <c r="E86">
        <v>5.0099999999999999E-2</v>
      </c>
    </row>
    <row r="87" spans="2:6" x14ac:dyDescent="0.3">
      <c r="B87" t="s">
        <v>157</v>
      </c>
      <c r="C87">
        <v>7.0000000000000007E-2</v>
      </c>
      <c r="D87">
        <v>7.0000000000000007E-2</v>
      </c>
      <c r="E87">
        <v>7.0000000000000007E-2</v>
      </c>
    </row>
    <row r="88" spans="2:6" x14ac:dyDescent="0.3">
      <c r="B88" t="s">
        <v>158</v>
      </c>
      <c r="C88">
        <v>0.03</v>
      </c>
      <c r="D88">
        <v>0.05</v>
      </c>
      <c r="E88">
        <v>7.0000000000000007E-2</v>
      </c>
    </row>
    <row r="90" spans="2:6" x14ac:dyDescent="0.3">
      <c r="B90" s="130" t="s">
        <v>151</v>
      </c>
      <c r="C90" s="130" t="s">
        <v>159</v>
      </c>
      <c r="D90" s="130" t="s">
        <v>160</v>
      </c>
      <c r="E90" s="130" t="s">
        <v>161</v>
      </c>
      <c r="F90" s="130" t="s">
        <v>162</v>
      </c>
    </row>
    <row r="91" spans="2:6" x14ac:dyDescent="0.3">
      <c r="B91" t="s">
        <v>155</v>
      </c>
      <c r="C91">
        <f>ROUND(1/(1+C85)^1,5)</f>
        <v>0.95238</v>
      </c>
      <c r="D91">
        <f>ROUND(1/(1+D85)^2,5)</f>
        <v>0.90703</v>
      </c>
      <c r="E91">
        <f>ROUND(1/(1+E85)^3,5)</f>
        <v>0.86384000000000005</v>
      </c>
      <c r="F91">
        <f>8*C91+8*D91+108*E91</f>
        <v>108.17000000000002</v>
      </c>
    </row>
    <row r="92" spans="2:6" x14ac:dyDescent="0.3">
      <c r="B92" t="s">
        <v>156</v>
      </c>
      <c r="C92">
        <f>ROUND(1/(1+C86)^1,5)</f>
        <v>0.95228999999999997</v>
      </c>
      <c r="D92">
        <f>ROUND(1/(1+D86)^2,5)</f>
        <v>0.90686</v>
      </c>
      <c r="E92">
        <f>ROUND(1/(1+E86)^3,5)</f>
        <v>0.86358999999999997</v>
      </c>
      <c r="F92">
        <f>8*C92+8*D92+108*E92</f>
        <v>108.14091999999999</v>
      </c>
    </row>
    <row r="93" spans="2:6" x14ac:dyDescent="0.3">
      <c r="B93" t="s">
        <v>157</v>
      </c>
      <c r="C93">
        <f>ROUND(1/(1+C87)^1,5)</f>
        <v>0.93457999999999997</v>
      </c>
      <c r="D93">
        <f>ROUND(1/(1+D87)^2,5)</f>
        <v>0.87343999999999999</v>
      </c>
      <c r="E93">
        <f>ROUND(1/(1+E87)^3,5)</f>
        <v>0.81630000000000003</v>
      </c>
      <c r="F93">
        <f>8*C93+8*D93+108*E93</f>
        <v>102.62456</v>
      </c>
    </row>
    <row r="94" spans="2:6" x14ac:dyDescent="0.3">
      <c r="B94" t="s">
        <v>158</v>
      </c>
      <c r="C94">
        <f>ROUND(1/(1+C88)^1,5)</f>
        <v>0.97087000000000001</v>
      </c>
      <c r="D94">
        <f>ROUND(1/(1+D88)^2,5)</f>
        <v>0.90703</v>
      </c>
      <c r="E94">
        <f>ROUND(1/(1+E88)^3,5)</f>
        <v>0.81630000000000003</v>
      </c>
      <c r="F94">
        <f>8*C94+8*D94+108*E94</f>
        <v>103.18360000000001</v>
      </c>
    </row>
    <row r="96" spans="2:6" x14ac:dyDescent="0.3">
      <c r="B96" s="131" t="s">
        <v>163</v>
      </c>
    </row>
    <row r="98" spans="2:5" x14ac:dyDescent="0.3">
      <c r="B98" s="130" t="s">
        <v>164</v>
      </c>
      <c r="C98" s="130" t="s">
        <v>51</v>
      </c>
      <c r="D98" s="130" t="s">
        <v>165</v>
      </c>
      <c r="E98" s="130" t="s">
        <v>89</v>
      </c>
    </row>
    <row r="99" spans="2:5" x14ac:dyDescent="0.3">
      <c r="B99" t="s">
        <v>166</v>
      </c>
      <c r="C99">
        <f>F91</f>
        <v>108.17000000000002</v>
      </c>
      <c r="D99">
        <f>1*8*C91 + 2*8*D91 + 3*108*E91</f>
        <v>302.01568000000003</v>
      </c>
      <c r="E99">
        <f>D99/C99</f>
        <v>2.7920465933253213</v>
      </c>
    </row>
    <row r="100" spans="2:5" x14ac:dyDescent="0.3">
      <c r="B100" t="s">
        <v>159</v>
      </c>
      <c r="C100">
        <f>C91</f>
        <v>0.95238</v>
      </c>
      <c r="D100">
        <f>1*C91</f>
        <v>0.95238</v>
      </c>
      <c r="E100">
        <f>D100/C100</f>
        <v>1</v>
      </c>
    </row>
    <row r="101" spans="2:5" x14ac:dyDescent="0.3">
      <c r="B101" t="s">
        <v>160</v>
      </c>
      <c r="C101">
        <f>D91</f>
        <v>0.90703</v>
      </c>
      <c r="D101">
        <f>2*D91</f>
        <v>1.81406</v>
      </c>
      <c r="E101">
        <f>D101/C101</f>
        <v>2</v>
      </c>
    </row>
    <row r="102" spans="2:5" x14ac:dyDescent="0.3">
      <c r="B102" t="s">
        <v>161</v>
      </c>
      <c r="C102">
        <f>E91</f>
        <v>0.86384000000000005</v>
      </c>
      <c r="D102">
        <f>3*E91</f>
        <v>2.59152</v>
      </c>
      <c r="E102">
        <f>D102/C102</f>
        <v>3</v>
      </c>
    </row>
    <row r="104" spans="2:5" x14ac:dyDescent="0.3">
      <c r="B104" s="131" t="s">
        <v>167</v>
      </c>
    </row>
    <row r="105" spans="2:5" x14ac:dyDescent="0.3">
      <c r="B105" s="131"/>
    </row>
    <row r="106" spans="2:5" x14ac:dyDescent="0.3">
      <c r="B106" s="130" t="s">
        <v>168</v>
      </c>
      <c r="C106" s="130" t="s">
        <v>169</v>
      </c>
      <c r="D106" s="130" t="s">
        <v>170</v>
      </c>
    </row>
    <row r="107" spans="2:5" x14ac:dyDescent="0.3">
      <c r="B107" t="s">
        <v>159</v>
      </c>
      <c r="C107">
        <f>-C99*E99/(C91*1)</f>
        <v>-317.11678111678117</v>
      </c>
    </row>
    <row r="108" spans="2:5" x14ac:dyDescent="0.3">
      <c r="B108" t="s">
        <v>160</v>
      </c>
      <c r="C108">
        <f>-C99*E99/(D91*2)</f>
        <v>-166.4860478705225</v>
      </c>
    </row>
    <row r="109" spans="2:5" x14ac:dyDescent="0.3">
      <c r="B109" t="s">
        <v>161</v>
      </c>
      <c r="C109">
        <f>-C99*E99/(E91*3)</f>
        <v>-116.53997653886523</v>
      </c>
    </row>
  </sheetData>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C2072-C110-4C71-84A8-115F15D17AE7}">
  <dimension ref="A3:G370"/>
  <sheetViews>
    <sheetView workbookViewId="0">
      <selection activeCell="C6" sqref="C6"/>
    </sheetView>
  </sheetViews>
  <sheetFormatPr defaultColWidth="9.109375" defaultRowHeight="13.8" x14ac:dyDescent="0.25"/>
  <cols>
    <col min="1" max="1" width="27.88671875" style="3" customWidth="1"/>
    <col min="2" max="2" width="9.109375" style="3"/>
    <col min="3" max="3" width="19.88671875" style="3" customWidth="1"/>
    <col min="4" max="6" width="18.6640625" style="3" customWidth="1"/>
    <col min="7" max="7" width="18.44140625" style="3" customWidth="1"/>
    <col min="8" max="16384" width="9.109375" style="3"/>
  </cols>
  <sheetData>
    <row r="3" spans="1:7" x14ac:dyDescent="0.25">
      <c r="B3" s="4" t="s">
        <v>178</v>
      </c>
      <c r="C3" s="132">
        <v>500000</v>
      </c>
    </row>
    <row r="4" spans="1:7" x14ac:dyDescent="0.25">
      <c r="B4" s="4" t="s">
        <v>179</v>
      </c>
      <c r="C4" s="78">
        <v>0.05</v>
      </c>
    </row>
    <row r="5" spans="1:7" x14ac:dyDescent="0.25">
      <c r="B5" s="4" t="s">
        <v>180</v>
      </c>
      <c r="C5" s="133">
        <v>360</v>
      </c>
    </row>
    <row r="6" spans="1:7" x14ac:dyDescent="0.25">
      <c r="B6" s="4" t="s">
        <v>181</v>
      </c>
      <c r="C6" s="8">
        <f>PMT(C4/12,C5,-C3)</f>
        <v>2684.1081150606951</v>
      </c>
    </row>
    <row r="7" spans="1:7" ht="14.4" x14ac:dyDescent="0.3">
      <c r="A7" s="134"/>
      <c r="B7" s="135" t="s">
        <v>182</v>
      </c>
      <c r="C7" s="136">
        <f>SUMPRODUCT(B9:B368,F9:F368)/(C3*12)</f>
        <v>18.651156856873985</v>
      </c>
    </row>
    <row r="8" spans="1:7" ht="30" customHeight="1" x14ac:dyDescent="0.25">
      <c r="B8" s="137" t="s">
        <v>183</v>
      </c>
      <c r="C8" s="138" t="s">
        <v>184</v>
      </c>
      <c r="D8" s="137" t="s">
        <v>185</v>
      </c>
      <c r="E8" s="137" t="s">
        <v>186</v>
      </c>
      <c r="F8" s="138" t="s">
        <v>187</v>
      </c>
      <c r="G8" s="138" t="s">
        <v>188</v>
      </c>
    </row>
    <row r="9" spans="1:7" x14ac:dyDescent="0.25">
      <c r="B9" s="18">
        <v>1</v>
      </c>
      <c r="C9" s="139">
        <f>C3</f>
        <v>500000</v>
      </c>
      <c r="D9" s="139">
        <f>$C$6</f>
        <v>2684.1081150606951</v>
      </c>
      <c r="E9" s="140">
        <f>$C$4*C9/12</f>
        <v>2083.3333333333335</v>
      </c>
      <c r="F9" s="139">
        <f>D9-E9</f>
        <v>600.77478172736164</v>
      </c>
      <c r="G9" s="8">
        <f>(C9-F9)</f>
        <v>499399.22521827265</v>
      </c>
    </row>
    <row r="10" spans="1:7" x14ac:dyDescent="0.25">
      <c r="B10" s="18">
        <f>B9+1</f>
        <v>2</v>
      </c>
      <c r="C10" s="74">
        <f>G9</f>
        <v>499399.22521827265</v>
      </c>
      <c r="D10" s="74">
        <f>D9</f>
        <v>2684.1081150606951</v>
      </c>
      <c r="E10" s="74">
        <f>$C$4*C10/12</f>
        <v>2080.8301050761361</v>
      </c>
      <c r="F10" s="74">
        <f>D10-E10</f>
        <v>603.27800998455905</v>
      </c>
      <c r="G10" s="74">
        <f>C10-F10</f>
        <v>498795.94720828807</v>
      </c>
    </row>
    <row r="11" spans="1:7" x14ac:dyDescent="0.25">
      <c r="B11" s="18">
        <f t="shared" ref="B11:B74" si="0">B10+1</f>
        <v>3</v>
      </c>
      <c r="C11" s="74">
        <f t="shared" ref="C11:C74" si="1">G10</f>
        <v>498795.94720828807</v>
      </c>
      <c r="D11" s="74">
        <f t="shared" ref="D11:D74" si="2">D10</f>
        <v>2684.1081150606951</v>
      </c>
      <c r="E11" s="74">
        <f t="shared" ref="E11:E74" si="3">$C$4*C11/12</f>
        <v>2078.3164467012007</v>
      </c>
      <c r="F11" s="74">
        <f t="shared" ref="F11:F74" si="4">D11-E11</f>
        <v>605.79166835949445</v>
      </c>
      <c r="G11" s="74">
        <f t="shared" ref="G11:G74" si="5">C11-F11</f>
        <v>498190.15553992859</v>
      </c>
    </row>
    <row r="12" spans="1:7" x14ac:dyDescent="0.25">
      <c r="B12" s="18">
        <f t="shared" si="0"/>
        <v>4</v>
      </c>
      <c r="C12" s="74">
        <f t="shared" si="1"/>
        <v>498190.15553992859</v>
      </c>
      <c r="D12" s="74">
        <f t="shared" si="2"/>
        <v>2684.1081150606951</v>
      </c>
      <c r="E12" s="74">
        <f t="shared" si="3"/>
        <v>2075.7923147497027</v>
      </c>
      <c r="F12" s="74">
        <f t="shared" si="4"/>
        <v>608.31580031099247</v>
      </c>
      <c r="G12" s="74">
        <f t="shared" si="5"/>
        <v>497581.8397396176</v>
      </c>
    </row>
    <row r="13" spans="1:7" x14ac:dyDescent="0.25">
      <c r="B13" s="18">
        <f t="shared" si="0"/>
        <v>5</v>
      </c>
      <c r="C13" s="74">
        <f t="shared" si="1"/>
        <v>497581.8397396176</v>
      </c>
      <c r="D13" s="74">
        <f t="shared" si="2"/>
        <v>2684.1081150606951</v>
      </c>
      <c r="E13" s="74">
        <f t="shared" si="3"/>
        <v>2073.2576655817402</v>
      </c>
      <c r="F13" s="74">
        <f t="shared" si="4"/>
        <v>610.85044947895494</v>
      </c>
      <c r="G13" s="74">
        <f t="shared" si="5"/>
        <v>496970.98929013865</v>
      </c>
    </row>
    <row r="14" spans="1:7" x14ac:dyDescent="0.25">
      <c r="B14" s="18">
        <f t="shared" si="0"/>
        <v>6</v>
      </c>
      <c r="C14" s="74">
        <f t="shared" si="1"/>
        <v>496970.98929013865</v>
      </c>
      <c r="D14" s="74">
        <f t="shared" si="2"/>
        <v>2684.1081150606951</v>
      </c>
      <c r="E14" s="74">
        <f t="shared" si="3"/>
        <v>2070.712455375578</v>
      </c>
      <c r="F14" s="74">
        <f t="shared" si="4"/>
        <v>613.39565968511715</v>
      </c>
      <c r="G14" s="74">
        <f t="shared" si="5"/>
        <v>496357.59363045351</v>
      </c>
    </row>
    <row r="15" spans="1:7" x14ac:dyDescent="0.25">
      <c r="B15" s="18">
        <f t="shared" si="0"/>
        <v>7</v>
      </c>
      <c r="C15" s="74">
        <f t="shared" si="1"/>
        <v>496357.59363045351</v>
      </c>
      <c r="D15" s="74">
        <f t="shared" si="2"/>
        <v>2684.1081150606951</v>
      </c>
      <c r="E15" s="74">
        <f t="shared" si="3"/>
        <v>2068.1566401268897</v>
      </c>
      <c r="F15" s="74">
        <f t="shared" si="4"/>
        <v>615.95147493380546</v>
      </c>
      <c r="G15" s="74">
        <f t="shared" si="5"/>
        <v>495741.64215551969</v>
      </c>
    </row>
    <row r="16" spans="1:7" x14ac:dyDescent="0.25">
      <c r="B16" s="18">
        <f t="shared" si="0"/>
        <v>8</v>
      </c>
      <c r="C16" s="74">
        <f t="shared" si="1"/>
        <v>495741.64215551969</v>
      </c>
      <c r="D16" s="74">
        <f t="shared" si="2"/>
        <v>2684.1081150606951</v>
      </c>
      <c r="E16" s="74">
        <f t="shared" si="3"/>
        <v>2065.5901756479989</v>
      </c>
      <c r="F16" s="74">
        <f t="shared" si="4"/>
        <v>618.51793941269625</v>
      </c>
      <c r="G16" s="74">
        <f t="shared" si="5"/>
        <v>495123.12421610701</v>
      </c>
    </row>
    <row r="17" spans="2:7" x14ac:dyDescent="0.25">
      <c r="B17" s="18">
        <f t="shared" si="0"/>
        <v>9</v>
      </c>
      <c r="C17" s="74">
        <f t="shared" si="1"/>
        <v>495123.12421610701</v>
      </c>
      <c r="D17" s="74">
        <f t="shared" si="2"/>
        <v>2684.1081150606951</v>
      </c>
      <c r="E17" s="74">
        <f t="shared" si="3"/>
        <v>2063.0130175671125</v>
      </c>
      <c r="F17" s="74">
        <f t="shared" si="4"/>
        <v>621.09509749358267</v>
      </c>
      <c r="G17" s="74">
        <f t="shared" si="5"/>
        <v>494502.02911861346</v>
      </c>
    </row>
    <row r="18" spans="2:7" x14ac:dyDescent="0.25">
      <c r="B18" s="18">
        <f t="shared" si="0"/>
        <v>10</v>
      </c>
      <c r="C18" s="74">
        <f t="shared" si="1"/>
        <v>494502.02911861346</v>
      </c>
      <c r="D18" s="74">
        <f t="shared" si="2"/>
        <v>2684.1081150606951</v>
      </c>
      <c r="E18" s="74">
        <f t="shared" si="3"/>
        <v>2060.4251213275561</v>
      </c>
      <c r="F18" s="74">
        <f t="shared" si="4"/>
        <v>623.68299373313903</v>
      </c>
      <c r="G18" s="74">
        <f t="shared" si="5"/>
        <v>493878.34612488031</v>
      </c>
    </row>
    <row r="19" spans="2:7" x14ac:dyDescent="0.25">
      <c r="B19" s="18">
        <f t="shared" si="0"/>
        <v>11</v>
      </c>
      <c r="C19" s="74">
        <f t="shared" si="1"/>
        <v>493878.34612488031</v>
      </c>
      <c r="D19" s="74">
        <f t="shared" si="2"/>
        <v>2684.1081150606951</v>
      </c>
      <c r="E19" s="74">
        <f t="shared" si="3"/>
        <v>2057.8264421870012</v>
      </c>
      <c r="F19" s="74">
        <f t="shared" si="4"/>
        <v>626.28167287369388</v>
      </c>
      <c r="G19" s="74">
        <f t="shared" si="5"/>
        <v>493252.0644520066</v>
      </c>
    </row>
    <row r="20" spans="2:7" x14ac:dyDescent="0.25">
      <c r="B20" s="18">
        <f t="shared" si="0"/>
        <v>12</v>
      </c>
      <c r="C20" s="74">
        <f t="shared" si="1"/>
        <v>493252.0644520066</v>
      </c>
      <c r="D20" s="74">
        <f t="shared" si="2"/>
        <v>2684.1081150606951</v>
      </c>
      <c r="E20" s="74">
        <f t="shared" si="3"/>
        <v>2055.2169352166943</v>
      </c>
      <c r="F20" s="74">
        <f t="shared" si="4"/>
        <v>628.89117984400082</v>
      </c>
      <c r="G20" s="74">
        <f t="shared" si="5"/>
        <v>492623.17327216262</v>
      </c>
    </row>
    <row r="21" spans="2:7" x14ac:dyDescent="0.25">
      <c r="B21" s="18">
        <f t="shared" si="0"/>
        <v>13</v>
      </c>
      <c r="C21" s="74">
        <f t="shared" si="1"/>
        <v>492623.17327216262</v>
      </c>
      <c r="D21" s="74">
        <f t="shared" si="2"/>
        <v>2684.1081150606951</v>
      </c>
      <c r="E21" s="74">
        <f t="shared" si="3"/>
        <v>2052.5965553006777</v>
      </c>
      <c r="F21" s="74">
        <f t="shared" si="4"/>
        <v>631.51155976001746</v>
      </c>
      <c r="G21" s="74">
        <f t="shared" si="5"/>
        <v>491991.66171240259</v>
      </c>
    </row>
    <row r="22" spans="2:7" x14ac:dyDescent="0.25">
      <c r="B22" s="18">
        <f t="shared" si="0"/>
        <v>14</v>
      </c>
      <c r="C22" s="74">
        <f t="shared" si="1"/>
        <v>491991.66171240259</v>
      </c>
      <c r="D22" s="74">
        <f t="shared" si="2"/>
        <v>2684.1081150606951</v>
      </c>
      <c r="E22" s="74">
        <f t="shared" si="3"/>
        <v>2049.9652571350111</v>
      </c>
      <c r="F22" s="74">
        <f t="shared" si="4"/>
        <v>634.14285792568398</v>
      </c>
      <c r="G22" s="74">
        <f t="shared" si="5"/>
        <v>491357.51885447692</v>
      </c>
    </row>
    <row r="23" spans="2:7" x14ac:dyDescent="0.25">
      <c r="B23" s="18">
        <f t="shared" si="0"/>
        <v>15</v>
      </c>
      <c r="C23" s="74">
        <f t="shared" si="1"/>
        <v>491357.51885447692</v>
      </c>
      <c r="D23" s="74">
        <f t="shared" si="2"/>
        <v>2684.1081150606951</v>
      </c>
      <c r="E23" s="74">
        <f t="shared" si="3"/>
        <v>2047.3229952269874</v>
      </c>
      <c r="F23" s="74">
        <f t="shared" si="4"/>
        <v>636.78511983370777</v>
      </c>
      <c r="G23" s="74">
        <f t="shared" si="5"/>
        <v>490720.7337346432</v>
      </c>
    </row>
    <row r="24" spans="2:7" x14ac:dyDescent="0.25">
      <c r="B24" s="18">
        <f t="shared" si="0"/>
        <v>16</v>
      </c>
      <c r="C24" s="74">
        <f t="shared" si="1"/>
        <v>490720.7337346432</v>
      </c>
      <c r="D24" s="74">
        <f t="shared" si="2"/>
        <v>2684.1081150606951</v>
      </c>
      <c r="E24" s="74">
        <f t="shared" si="3"/>
        <v>2044.6697238943468</v>
      </c>
      <c r="F24" s="74">
        <f t="shared" si="4"/>
        <v>639.43839116634831</v>
      </c>
      <c r="G24" s="74">
        <f t="shared" si="5"/>
        <v>490081.29534347687</v>
      </c>
    </row>
    <row r="25" spans="2:7" x14ac:dyDescent="0.25">
      <c r="B25" s="18">
        <f t="shared" si="0"/>
        <v>17</v>
      </c>
      <c r="C25" s="74">
        <f t="shared" si="1"/>
        <v>490081.29534347687</v>
      </c>
      <c r="D25" s="74">
        <f t="shared" si="2"/>
        <v>2684.1081150606951</v>
      </c>
      <c r="E25" s="74">
        <f t="shared" si="3"/>
        <v>2042.0053972644871</v>
      </c>
      <c r="F25" s="74">
        <f t="shared" si="4"/>
        <v>642.10271779620803</v>
      </c>
      <c r="G25" s="74">
        <f t="shared" si="5"/>
        <v>489439.19262568065</v>
      </c>
    </row>
    <row r="26" spans="2:7" x14ac:dyDescent="0.25">
      <c r="B26" s="18">
        <f t="shared" si="0"/>
        <v>18</v>
      </c>
      <c r="C26" s="74">
        <f t="shared" si="1"/>
        <v>489439.19262568065</v>
      </c>
      <c r="D26" s="74">
        <f t="shared" si="2"/>
        <v>2684.1081150606951</v>
      </c>
      <c r="E26" s="74">
        <f t="shared" si="3"/>
        <v>2039.3299692736693</v>
      </c>
      <c r="F26" s="74">
        <f t="shared" si="4"/>
        <v>644.77814578702578</v>
      </c>
      <c r="G26" s="74">
        <f t="shared" si="5"/>
        <v>488794.41447989363</v>
      </c>
    </row>
    <row r="27" spans="2:7" x14ac:dyDescent="0.25">
      <c r="B27" s="18">
        <f t="shared" si="0"/>
        <v>19</v>
      </c>
      <c r="C27" s="74">
        <f t="shared" si="1"/>
        <v>488794.41447989363</v>
      </c>
      <c r="D27" s="74">
        <f t="shared" si="2"/>
        <v>2684.1081150606951</v>
      </c>
      <c r="E27" s="74">
        <f t="shared" si="3"/>
        <v>2036.6433936662236</v>
      </c>
      <c r="F27" s="74">
        <f t="shared" si="4"/>
        <v>647.46472139447155</v>
      </c>
      <c r="G27" s="74">
        <f t="shared" si="5"/>
        <v>488146.94975849916</v>
      </c>
    </row>
    <row r="28" spans="2:7" x14ac:dyDescent="0.25">
      <c r="B28" s="18">
        <f t="shared" si="0"/>
        <v>20</v>
      </c>
      <c r="C28" s="74">
        <f t="shared" si="1"/>
        <v>488146.94975849916</v>
      </c>
      <c r="D28" s="74">
        <f t="shared" si="2"/>
        <v>2684.1081150606951</v>
      </c>
      <c r="E28" s="74">
        <f t="shared" si="3"/>
        <v>2033.9456239937465</v>
      </c>
      <c r="F28" s="74">
        <f t="shared" si="4"/>
        <v>650.16249106694863</v>
      </c>
      <c r="G28" s="74">
        <f t="shared" si="5"/>
        <v>487496.7872674322</v>
      </c>
    </row>
    <row r="29" spans="2:7" x14ac:dyDescent="0.25">
      <c r="B29" s="18">
        <f t="shared" si="0"/>
        <v>21</v>
      </c>
      <c r="C29" s="74">
        <f t="shared" si="1"/>
        <v>487496.7872674322</v>
      </c>
      <c r="D29" s="74">
        <f t="shared" si="2"/>
        <v>2684.1081150606951</v>
      </c>
      <c r="E29" s="74">
        <f t="shared" si="3"/>
        <v>2031.2366136143009</v>
      </c>
      <c r="F29" s="74">
        <f t="shared" si="4"/>
        <v>652.87150144639418</v>
      </c>
      <c r="G29" s="74">
        <f t="shared" si="5"/>
        <v>486843.91576598579</v>
      </c>
    </row>
    <row r="30" spans="2:7" x14ac:dyDescent="0.25">
      <c r="B30" s="18">
        <f t="shared" si="0"/>
        <v>22</v>
      </c>
      <c r="C30" s="74">
        <f t="shared" si="1"/>
        <v>486843.91576598579</v>
      </c>
      <c r="D30" s="74">
        <f t="shared" si="2"/>
        <v>2684.1081150606951</v>
      </c>
      <c r="E30" s="74">
        <f t="shared" si="3"/>
        <v>2028.5163156916076</v>
      </c>
      <c r="F30" s="74">
        <f t="shared" si="4"/>
        <v>655.59179936908754</v>
      </c>
      <c r="G30" s="74">
        <f t="shared" si="5"/>
        <v>486188.32396661671</v>
      </c>
    </row>
    <row r="31" spans="2:7" x14ac:dyDescent="0.25">
      <c r="B31" s="18">
        <f t="shared" si="0"/>
        <v>23</v>
      </c>
      <c r="C31" s="74">
        <f t="shared" si="1"/>
        <v>486188.32396661671</v>
      </c>
      <c r="D31" s="74">
        <f t="shared" si="2"/>
        <v>2684.1081150606951</v>
      </c>
      <c r="E31" s="74">
        <f t="shared" si="3"/>
        <v>2025.7846831942363</v>
      </c>
      <c r="F31" s="74">
        <f t="shared" si="4"/>
        <v>658.3234318664588</v>
      </c>
      <c r="G31" s="74">
        <f t="shared" si="5"/>
        <v>485530.00053475023</v>
      </c>
    </row>
    <row r="32" spans="2:7" x14ac:dyDescent="0.25">
      <c r="B32" s="18">
        <f t="shared" si="0"/>
        <v>24</v>
      </c>
      <c r="C32" s="74">
        <f t="shared" si="1"/>
        <v>485530.00053475023</v>
      </c>
      <c r="D32" s="74">
        <f t="shared" si="2"/>
        <v>2684.1081150606951</v>
      </c>
      <c r="E32" s="74">
        <f t="shared" si="3"/>
        <v>2023.0416688947928</v>
      </c>
      <c r="F32" s="74">
        <f t="shared" si="4"/>
        <v>661.06644616590233</v>
      </c>
      <c r="G32" s="74">
        <f t="shared" si="5"/>
        <v>484868.93408858433</v>
      </c>
    </row>
    <row r="33" spans="2:7" x14ac:dyDescent="0.25">
      <c r="B33" s="18">
        <f t="shared" si="0"/>
        <v>25</v>
      </c>
      <c r="C33" s="74">
        <f t="shared" si="1"/>
        <v>484868.93408858433</v>
      </c>
      <c r="D33" s="74">
        <f t="shared" si="2"/>
        <v>2684.1081150606951</v>
      </c>
      <c r="E33" s="74">
        <f t="shared" si="3"/>
        <v>2020.2872253691014</v>
      </c>
      <c r="F33" s="74">
        <f t="shared" si="4"/>
        <v>663.82088969159372</v>
      </c>
      <c r="G33" s="74">
        <f t="shared" si="5"/>
        <v>484205.11319889274</v>
      </c>
    </row>
    <row r="34" spans="2:7" x14ac:dyDescent="0.25">
      <c r="B34" s="18">
        <f t="shared" si="0"/>
        <v>26</v>
      </c>
      <c r="C34" s="74">
        <f t="shared" si="1"/>
        <v>484205.11319889274</v>
      </c>
      <c r="D34" s="74">
        <f t="shared" si="2"/>
        <v>2684.1081150606951</v>
      </c>
      <c r="E34" s="74">
        <f t="shared" si="3"/>
        <v>2017.5213049953866</v>
      </c>
      <c r="F34" s="74">
        <f t="shared" si="4"/>
        <v>666.58681006530855</v>
      </c>
      <c r="G34" s="74">
        <f t="shared" si="5"/>
        <v>483538.52638882742</v>
      </c>
    </row>
    <row r="35" spans="2:7" x14ac:dyDescent="0.25">
      <c r="B35" s="18">
        <f t="shared" si="0"/>
        <v>27</v>
      </c>
      <c r="C35" s="74">
        <f t="shared" si="1"/>
        <v>483538.52638882742</v>
      </c>
      <c r="D35" s="74">
        <f t="shared" si="2"/>
        <v>2684.1081150606951</v>
      </c>
      <c r="E35" s="74">
        <f t="shared" si="3"/>
        <v>2014.7438599534478</v>
      </c>
      <c r="F35" s="74">
        <f t="shared" si="4"/>
        <v>669.36425510724735</v>
      </c>
      <c r="G35" s="74">
        <f t="shared" si="5"/>
        <v>482869.16213372018</v>
      </c>
    </row>
    <row r="36" spans="2:7" x14ac:dyDescent="0.25">
      <c r="B36" s="18">
        <f t="shared" si="0"/>
        <v>28</v>
      </c>
      <c r="C36" s="74">
        <f t="shared" si="1"/>
        <v>482869.16213372018</v>
      </c>
      <c r="D36" s="74">
        <f t="shared" si="2"/>
        <v>2684.1081150606951</v>
      </c>
      <c r="E36" s="74">
        <f t="shared" si="3"/>
        <v>2011.9548422238342</v>
      </c>
      <c r="F36" s="74">
        <f t="shared" si="4"/>
        <v>672.15327283686088</v>
      </c>
      <c r="G36" s="74">
        <f t="shared" si="5"/>
        <v>482197.0088608833</v>
      </c>
    </row>
    <row r="37" spans="2:7" x14ac:dyDescent="0.25">
      <c r="B37" s="18">
        <f t="shared" si="0"/>
        <v>29</v>
      </c>
      <c r="C37" s="74">
        <f t="shared" si="1"/>
        <v>482197.0088608833</v>
      </c>
      <c r="D37" s="74">
        <f t="shared" si="2"/>
        <v>2684.1081150606951</v>
      </c>
      <c r="E37" s="74">
        <f t="shared" si="3"/>
        <v>2009.1542035870141</v>
      </c>
      <c r="F37" s="74">
        <f t="shared" si="4"/>
        <v>674.95391147368105</v>
      </c>
      <c r="G37" s="74">
        <f t="shared" si="5"/>
        <v>481522.05494940962</v>
      </c>
    </row>
    <row r="38" spans="2:7" x14ac:dyDescent="0.25">
      <c r="B38" s="18">
        <f t="shared" si="0"/>
        <v>30</v>
      </c>
      <c r="C38" s="74">
        <f t="shared" si="1"/>
        <v>481522.05494940962</v>
      </c>
      <c r="D38" s="74">
        <f t="shared" si="2"/>
        <v>2684.1081150606951</v>
      </c>
      <c r="E38" s="74">
        <f t="shared" si="3"/>
        <v>2006.3418956225403</v>
      </c>
      <c r="F38" s="74">
        <f t="shared" si="4"/>
        <v>677.76621943815485</v>
      </c>
      <c r="G38" s="74">
        <f t="shared" si="5"/>
        <v>480844.28872997145</v>
      </c>
    </row>
    <row r="39" spans="2:7" x14ac:dyDescent="0.25">
      <c r="B39" s="18">
        <f t="shared" si="0"/>
        <v>31</v>
      </c>
      <c r="C39" s="74">
        <f t="shared" si="1"/>
        <v>480844.28872997145</v>
      </c>
      <c r="D39" s="74">
        <f t="shared" si="2"/>
        <v>2684.1081150606951</v>
      </c>
      <c r="E39" s="74">
        <f t="shared" si="3"/>
        <v>2003.5178697082144</v>
      </c>
      <c r="F39" s="74">
        <f t="shared" si="4"/>
        <v>680.59024535248068</v>
      </c>
      <c r="G39" s="74">
        <f t="shared" si="5"/>
        <v>480163.69848461897</v>
      </c>
    </row>
    <row r="40" spans="2:7" x14ac:dyDescent="0.25">
      <c r="B40" s="18">
        <f t="shared" si="0"/>
        <v>32</v>
      </c>
      <c r="C40" s="74">
        <f t="shared" si="1"/>
        <v>480163.69848461897</v>
      </c>
      <c r="D40" s="74">
        <f t="shared" si="2"/>
        <v>2684.1081150606951</v>
      </c>
      <c r="E40" s="74">
        <f t="shared" si="3"/>
        <v>2000.682077019246</v>
      </c>
      <c r="F40" s="74">
        <f t="shared" si="4"/>
        <v>683.42603804144915</v>
      </c>
      <c r="G40" s="74">
        <f t="shared" si="5"/>
        <v>479480.2724465775</v>
      </c>
    </row>
    <row r="41" spans="2:7" x14ac:dyDescent="0.25">
      <c r="B41" s="18">
        <f t="shared" si="0"/>
        <v>33</v>
      </c>
      <c r="C41" s="74">
        <f t="shared" si="1"/>
        <v>479480.2724465775</v>
      </c>
      <c r="D41" s="74">
        <f t="shared" si="2"/>
        <v>2684.1081150606951</v>
      </c>
      <c r="E41" s="74">
        <f t="shared" si="3"/>
        <v>1997.8344685274062</v>
      </c>
      <c r="F41" s="74">
        <f t="shared" si="4"/>
        <v>686.27364653328891</v>
      </c>
      <c r="G41" s="74">
        <f t="shared" si="5"/>
        <v>478793.99880004418</v>
      </c>
    </row>
    <row r="42" spans="2:7" x14ac:dyDescent="0.25">
      <c r="B42" s="18">
        <f t="shared" si="0"/>
        <v>34</v>
      </c>
      <c r="C42" s="74">
        <f t="shared" si="1"/>
        <v>478793.99880004418</v>
      </c>
      <c r="D42" s="74">
        <f t="shared" si="2"/>
        <v>2684.1081150606951</v>
      </c>
      <c r="E42" s="74">
        <f t="shared" si="3"/>
        <v>1994.9749950001842</v>
      </c>
      <c r="F42" s="74">
        <f t="shared" si="4"/>
        <v>689.13312006051092</v>
      </c>
      <c r="G42" s="74">
        <f t="shared" si="5"/>
        <v>478104.86567998369</v>
      </c>
    </row>
    <row r="43" spans="2:7" x14ac:dyDescent="0.25">
      <c r="B43" s="18">
        <f t="shared" si="0"/>
        <v>35</v>
      </c>
      <c r="C43" s="74">
        <f t="shared" si="1"/>
        <v>478104.86567998369</v>
      </c>
      <c r="D43" s="74">
        <f t="shared" si="2"/>
        <v>2684.1081150606951</v>
      </c>
      <c r="E43" s="74">
        <f t="shared" si="3"/>
        <v>1992.103606999932</v>
      </c>
      <c r="F43" s="74">
        <f t="shared" si="4"/>
        <v>692.0045080607631</v>
      </c>
      <c r="G43" s="74">
        <f t="shared" si="5"/>
        <v>477412.86117192294</v>
      </c>
    </row>
    <row r="44" spans="2:7" x14ac:dyDescent="0.25">
      <c r="B44" s="18">
        <f t="shared" si="0"/>
        <v>36</v>
      </c>
      <c r="C44" s="74">
        <f t="shared" si="1"/>
        <v>477412.86117192294</v>
      </c>
      <c r="D44" s="74">
        <f t="shared" si="2"/>
        <v>2684.1081150606951</v>
      </c>
      <c r="E44" s="74">
        <f t="shared" si="3"/>
        <v>1989.2202548830126</v>
      </c>
      <c r="F44" s="74">
        <f t="shared" si="4"/>
        <v>694.88786017768257</v>
      </c>
      <c r="G44" s="74">
        <f t="shared" si="5"/>
        <v>476717.97331174527</v>
      </c>
    </row>
    <row r="45" spans="2:7" x14ac:dyDescent="0.25">
      <c r="B45" s="18">
        <f t="shared" si="0"/>
        <v>37</v>
      </c>
      <c r="C45" s="74">
        <f t="shared" si="1"/>
        <v>476717.97331174527</v>
      </c>
      <c r="D45" s="74">
        <f t="shared" si="2"/>
        <v>2684.1081150606951</v>
      </c>
      <c r="E45" s="74">
        <f t="shared" si="3"/>
        <v>1986.3248887989387</v>
      </c>
      <c r="F45" s="74">
        <f t="shared" si="4"/>
        <v>697.78322626175645</v>
      </c>
      <c r="G45" s="74">
        <f t="shared" si="5"/>
        <v>476020.19008548354</v>
      </c>
    </row>
    <row r="46" spans="2:7" x14ac:dyDescent="0.25">
      <c r="B46" s="18">
        <f t="shared" si="0"/>
        <v>38</v>
      </c>
      <c r="C46" s="74">
        <f t="shared" si="1"/>
        <v>476020.19008548354</v>
      </c>
      <c r="D46" s="74">
        <f t="shared" si="2"/>
        <v>2684.1081150606951</v>
      </c>
      <c r="E46" s="74">
        <f t="shared" si="3"/>
        <v>1983.4174586895149</v>
      </c>
      <c r="F46" s="74">
        <f t="shared" si="4"/>
        <v>700.69065637118024</v>
      </c>
      <c r="G46" s="74">
        <f t="shared" si="5"/>
        <v>475319.49942911236</v>
      </c>
    </row>
    <row r="47" spans="2:7" x14ac:dyDescent="0.25">
      <c r="B47" s="18">
        <f t="shared" si="0"/>
        <v>39</v>
      </c>
      <c r="C47" s="74">
        <f t="shared" si="1"/>
        <v>475319.49942911236</v>
      </c>
      <c r="D47" s="74">
        <f t="shared" si="2"/>
        <v>2684.1081150606951</v>
      </c>
      <c r="E47" s="74">
        <f t="shared" si="3"/>
        <v>1980.4979142879683</v>
      </c>
      <c r="F47" s="74">
        <f t="shared" si="4"/>
        <v>703.61020077272678</v>
      </c>
      <c r="G47" s="74">
        <f t="shared" si="5"/>
        <v>474615.88922833966</v>
      </c>
    </row>
    <row r="48" spans="2:7" x14ac:dyDescent="0.25">
      <c r="B48" s="18">
        <f t="shared" si="0"/>
        <v>40</v>
      </c>
      <c r="C48" s="74">
        <f t="shared" si="1"/>
        <v>474615.88922833966</v>
      </c>
      <c r="D48" s="74">
        <f t="shared" si="2"/>
        <v>2684.1081150606951</v>
      </c>
      <c r="E48" s="74">
        <f t="shared" si="3"/>
        <v>1977.5662051180818</v>
      </c>
      <c r="F48" s="74">
        <f t="shared" si="4"/>
        <v>706.5419099426133</v>
      </c>
      <c r="G48" s="74">
        <f t="shared" si="5"/>
        <v>473909.34731839702</v>
      </c>
    </row>
    <row r="49" spans="2:7" x14ac:dyDescent="0.25">
      <c r="B49" s="18">
        <f t="shared" si="0"/>
        <v>41</v>
      </c>
      <c r="C49" s="74">
        <f t="shared" si="1"/>
        <v>473909.34731839702</v>
      </c>
      <c r="D49" s="74">
        <f t="shared" si="2"/>
        <v>2684.1081150606951</v>
      </c>
      <c r="E49" s="74">
        <f t="shared" si="3"/>
        <v>1974.6222804933211</v>
      </c>
      <c r="F49" s="74">
        <f t="shared" si="4"/>
        <v>709.48583456737401</v>
      </c>
      <c r="G49" s="74">
        <f t="shared" si="5"/>
        <v>473199.86148382962</v>
      </c>
    </row>
    <row r="50" spans="2:7" x14ac:dyDescent="0.25">
      <c r="B50" s="18">
        <f t="shared" si="0"/>
        <v>42</v>
      </c>
      <c r="C50" s="74">
        <f t="shared" si="1"/>
        <v>473199.86148382962</v>
      </c>
      <c r="D50" s="74">
        <f t="shared" si="2"/>
        <v>2684.1081150606951</v>
      </c>
      <c r="E50" s="74">
        <f t="shared" si="3"/>
        <v>1971.6660895159569</v>
      </c>
      <c r="F50" s="74">
        <f t="shared" si="4"/>
        <v>712.44202554473827</v>
      </c>
      <c r="G50" s="74">
        <f t="shared" si="5"/>
        <v>472487.41945828486</v>
      </c>
    </row>
    <row r="51" spans="2:7" x14ac:dyDescent="0.25">
      <c r="B51" s="18">
        <f t="shared" si="0"/>
        <v>43</v>
      </c>
      <c r="C51" s="74">
        <f t="shared" si="1"/>
        <v>472487.41945828486</v>
      </c>
      <c r="D51" s="74">
        <f t="shared" si="2"/>
        <v>2684.1081150606951</v>
      </c>
      <c r="E51" s="74">
        <f t="shared" si="3"/>
        <v>1968.6975810761869</v>
      </c>
      <c r="F51" s="74">
        <f t="shared" si="4"/>
        <v>715.41053398450822</v>
      </c>
      <c r="G51" s="74">
        <f t="shared" si="5"/>
        <v>471772.00892430037</v>
      </c>
    </row>
    <row r="52" spans="2:7" x14ac:dyDescent="0.25">
      <c r="B52" s="18">
        <f t="shared" si="0"/>
        <v>44</v>
      </c>
      <c r="C52" s="74">
        <f t="shared" si="1"/>
        <v>471772.00892430037</v>
      </c>
      <c r="D52" s="74">
        <f t="shared" si="2"/>
        <v>2684.1081150606951</v>
      </c>
      <c r="E52" s="74">
        <f t="shared" si="3"/>
        <v>1965.7167038512516</v>
      </c>
      <c r="F52" s="74">
        <f t="shared" si="4"/>
        <v>718.3914112094435</v>
      </c>
      <c r="G52" s="74">
        <f t="shared" si="5"/>
        <v>471053.61751309095</v>
      </c>
    </row>
    <row r="53" spans="2:7" x14ac:dyDescent="0.25">
      <c r="B53" s="18">
        <f t="shared" si="0"/>
        <v>45</v>
      </c>
      <c r="C53" s="74">
        <f t="shared" si="1"/>
        <v>471053.61751309095</v>
      </c>
      <c r="D53" s="74">
        <f t="shared" si="2"/>
        <v>2684.1081150606951</v>
      </c>
      <c r="E53" s="74">
        <f t="shared" si="3"/>
        <v>1962.723406304546</v>
      </c>
      <c r="F53" s="74">
        <f t="shared" si="4"/>
        <v>721.38470875614917</v>
      </c>
      <c r="G53" s="74">
        <f t="shared" si="5"/>
        <v>470332.23280433478</v>
      </c>
    </row>
    <row r="54" spans="2:7" x14ac:dyDescent="0.25">
      <c r="B54" s="18">
        <f t="shared" si="0"/>
        <v>46</v>
      </c>
      <c r="C54" s="74">
        <f t="shared" si="1"/>
        <v>470332.23280433478</v>
      </c>
      <c r="D54" s="74">
        <f t="shared" si="2"/>
        <v>2684.1081150606951</v>
      </c>
      <c r="E54" s="74">
        <f t="shared" si="3"/>
        <v>1959.7176366847282</v>
      </c>
      <c r="F54" s="74">
        <f t="shared" si="4"/>
        <v>724.39047837596695</v>
      </c>
      <c r="G54" s="74">
        <f t="shared" si="5"/>
        <v>469607.84232595883</v>
      </c>
    </row>
    <row r="55" spans="2:7" x14ac:dyDescent="0.25">
      <c r="B55" s="18">
        <f t="shared" si="0"/>
        <v>47</v>
      </c>
      <c r="C55" s="74">
        <f t="shared" si="1"/>
        <v>469607.84232595883</v>
      </c>
      <c r="D55" s="74">
        <f t="shared" si="2"/>
        <v>2684.1081150606951</v>
      </c>
      <c r="E55" s="74">
        <f t="shared" si="3"/>
        <v>1956.6993430248285</v>
      </c>
      <c r="F55" s="74">
        <f t="shared" si="4"/>
        <v>727.4087720358666</v>
      </c>
      <c r="G55" s="74">
        <f t="shared" si="5"/>
        <v>468880.43355392298</v>
      </c>
    </row>
    <row r="56" spans="2:7" x14ac:dyDescent="0.25">
      <c r="B56" s="18">
        <f t="shared" si="0"/>
        <v>48</v>
      </c>
      <c r="C56" s="74">
        <f t="shared" si="1"/>
        <v>468880.43355392298</v>
      </c>
      <c r="D56" s="74">
        <f t="shared" si="2"/>
        <v>2684.1081150606951</v>
      </c>
      <c r="E56" s="74">
        <f t="shared" si="3"/>
        <v>1953.6684731413459</v>
      </c>
      <c r="F56" s="74">
        <f t="shared" si="4"/>
        <v>730.43964191934924</v>
      </c>
      <c r="G56" s="74">
        <f t="shared" si="5"/>
        <v>468149.99391200364</v>
      </c>
    </row>
    <row r="57" spans="2:7" x14ac:dyDescent="0.25">
      <c r="B57" s="18">
        <f t="shared" si="0"/>
        <v>49</v>
      </c>
      <c r="C57" s="74">
        <f t="shared" si="1"/>
        <v>468149.99391200364</v>
      </c>
      <c r="D57" s="74">
        <f t="shared" si="2"/>
        <v>2684.1081150606951</v>
      </c>
      <c r="E57" s="74">
        <f t="shared" si="3"/>
        <v>1950.6249746333488</v>
      </c>
      <c r="F57" s="74">
        <f t="shared" si="4"/>
        <v>733.48314042734637</v>
      </c>
      <c r="G57" s="74">
        <f t="shared" si="5"/>
        <v>467416.51077157632</v>
      </c>
    </row>
    <row r="58" spans="2:7" x14ac:dyDescent="0.25">
      <c r="B58" s="18">
        <f t="shared" si="0"/>
        <v>50</v>
      </c>
      <c r="C58" s="74">
        <f t="shared" si="1"/>
        <v>467416.51077157632</v>
      </c>
      <c r="D58" s="74">
        <f t="shared" si="2"/>
        <v>2684.1081150606951</v>
      </c>
      <c r="E58" s="74">
        <f t="shared" si="3"/>
        <v>1947.5687948815682</v>
      </c>
      <c r="F58" s="74">
        <f t="shared" si="4"/>
        <v>736.53932017912689</v>
      </c>
      <c r="G58" s="74">
        <f t="shared" si="5"/>
        <v>466679.97145139717</v>
      </c>
    </row>
    <row r="59" spans="2:7" x14ac:dyDescent="0.25">
      <c r="B59" s="18">
        <f t="shared" si="0"/>
        <v>51</v>
      </c>
      <c r="C59" s="74">
        <f t="shared" si="1"/>
        <v>466679.97145139717</v>
      </c>
      <c r="D59" s="74">
        <f t="shared" si="2"/>
        <v>2684.1081150606951</v>
      </c>
      <c r="E59" s="74">
        <f t="shared" si="3"/>
        <v>1944.4998810474883</v>
      </c>
      <c r="F59" s="74">
        <f t="shared" si="4"/>
        <v>739.60823401320681</v>
      </c>
      <c r="G59" s="74">
        <f t="shared" si="5"/>
        <v>465940.36321738397</v>
      </c>
    </row>
    <row r="60" spans="2:7" x14ac:dyDescent="0.25">
      <c r="B60" s="18">
        <f t="shared" si="0"/>
        <v>52</v>
      </c>
      <c r="C60" s="74">
        <f t="shared" si="1"/>
        <v>465940.36321738397</v>
      </c>
      <c r="D60" s="74">
        <f t="shared" si="2"/>
        <v>2684.1081150606951</v>
      </c>
      <c r="E60" s="74">
        <f t="shared" si="3"/>
        <v>1941.4181800724334</v>
      </c>
      <c r="F60" s="74">
        <f t="shared" si="4"/>
        <v>742.68993498826171</v>
      </c>
      <c r="G60" s="74">
        <f t="shared" si="5"/>
        <v>465197.6732823957</v>
      </c>
    </row>
    <row r="61" spans="2:7" x14ac:dyDescent="0.25">
      <c r="B61" s="18">
        <f t="shared" si="0"/>
        <v>53</v>
      </c>
      <c r="C61" s="74">
        <f t="shared" si="1"/>
        <v>465197.6732823957</v>
      </c>
      <c r="D61" s="74">
        <f t="shared" si="2"/>
        <v>2684.1081150606951</v>
      </c>
      <c r="E61" s="74">
        <f t="shared" si="3"/>
        <v>1938.3236386766487</v>
      </c>
      <c r="F61" s="74">
        <f t="shared" si="4"/>
        <v>745.78447638404646</v>
      </c>
      <c r="G61" s="74">
        <f t="shared" si="5"/>
        <v>464451.88880601164</v>
      </c>
    </row>
    <row r="62" spans="2:7" x14ac:dyDescent="0.25">
      <c r="B62" s="18">
        <f t="shared" si="0"/>
        <v>54</v>
      </c>
      <c r="C62" s="74">
        <f t="shared" si="1"/>
        <v>464451.88880601164</v>
      </c>
      <c r="D62" s="74">
        <f t="shared" si="2"/>
        <v>2684.1081150606951</v>
      </c>
      <c r="E62" s="74">
        <f t="shared" si="3"/>
        <v>1935.216203358382</v>
      </c>
      <c r="F62" s="74">
        <f t="shared" si="4"/>
        <v>748.89191170231311</v>
      </c>
      <c r="G62" s="74">
        <f t="shared" si="5"/>
        <v>463702.99689430936</v>
      </c>
    </row>
    <row r="63" spans="2:7" x14ac:dyDescent="0.25">
      <c r="B63" s="18">
        <f t="shared" si="0"/>
        <v>55</v>
      </c>
      <c r="C63" s="74">
        <f t="shared" si="1"/>
        <v>463702.99689430936</v>
      </c>
      <c r="D63" s="74">
        <f t="shared" si="2"/>
        <v>2684.1081150606951</v>
      </c>
      <c r="E63" s="74">
        <f t="shared" si="3"/>
        <v>1932.0958203929558</v>
      </c>
      <c r="F63" s="74">
        <f t="shared" si="4"/>
        <v>752.0122946677393</v>
      </c>
      <c r="G63" s="74">
        <f t="shared" si="5"/>
        <v>462950.98459964164</v>
      </c>
    </row>
    <row r="64" spans="2:7" x14ac:dyDescent="0.25">
      <c r="B64" s="18">
        <f t="shared" si="0"/>
        <v>56</v>
      </c>
      <c r="C64" s="74">
        <f t="shared" si="1"/>
        <v>462950.98459964164</v>
      </c>
      <c r="D64" s="74">
        <f t="shared" si="2"/>
        <v>2684.1081150606951</v>
      </c>
      <c r="E64" s="74">
        <f t="shared" si="3"/>
        <v>1928.9624358318404</v>
      </c>
      <c r="F64" s="74">
        <f t="shared" si="4"/>
        <v>755.14567922885476</v>
      </c>
      <c r="G64" s="74">
        <f t="shared" si="5"/>
        <v>462195.83892041276</v>
      </c>
    </row>
    <row r="65" spans="2:7" x14ac:dyDescent="0.25">
      <c r="B65" s="18">
        <f t="shared" si="0"/>
        <v>57</v>
      </c>
      <c r="C65" s="74">
        <f t="shared" si="1"/>
        <v>462195.83892041276</v>
      </c>
      <c r="D65" s="74">
        <f t="shared" si="2"/>
        <v>2684.1081150606951</v>
      </c>
      <c r="E65" s="74">
        <f t="shared" si="3"/>
        <v>1925.81599550172</v>
      </c>
      <c r="F65" s="74">
        <f t="shared" si="4"/>
        <v>758.29211955897517</v>
      </c>
      <c r="G65" s="74">
        <f t="shared" si="5"/>
        <v>461437.5468008538</v>
      </c>
    </row>
    <row r="66" spans="2:7" x14ac:dyDescent="0.25">
      <c r="B66" s="18">
        <f t="shared" si="0"/>
        <v>58</v>
      </c>
      <c r="C66" s="74">
        <f t="shared" si="1"/>
        <v>461437.5468008538</v>
      </c>
      <c r="D66" s="74">
        <f t="shared" si="2"/>
        <v>2684.1081150606951</v>
      </c>
      <c r="E66" s="74">
        <f t="shared" si="3"/>
        <v>1922.6564450035576</v>
      </c>
      <c r="F66" s="74">
        <f t="shared" si="4"/>
        <v>761.45167005713756</v>
      </c>
      <c r="G66" s="74">
        <f t="shared" si="5"/>
        <v>460676.09513079666</v>
      </c>
    </row>
    <row r="67" spans="2:7" x14ac:dyDescent="0.25">
      <c r="B67" s="18">
        <f t="shared" si="0"/>
        <v>59</v>
      </c>
      <c r="C67" s="74">
        <f t="shared" si="1"/>
        <v>460676.09513079666</v>
      </c>
      <c r="D67" s="74">
        <f t="shared" si="2"/>
        <v>2684.1081150606951</v>
      </c>
      <c r="E67" s="74">
        <f t="shared" si="3"/>
        <v>1919.4837297116528</v>
      </c>
      <c r="F67" s="74">
        <f t="shared" si="4"/>
        <v>764.62438534904231</v>
      </c>
      <c r="G67" s="74">
        <f t="shared" si="5"/>
        <v>459911.47074544762</v>
      </c>
    </row>
    <row r="68" spans="2:7" x14ac:dyDescent="0.25">
      <c r="B68" s="18">
        <f t="shared" si="0"/>
        <v>60</v>
      </c>
      <c r="C68" s="74">
        <f t="shared" si="1"/>
        <v>459911.47074544762</v>
      </c>
      <c r="D68" s="74">
        <f t="shared" si="2"/>
        <v>2684.1081150606951</v>
      </c>
      <c r="E68" s="74">
        <f t="shared" si="3"/>
        <v>1916.2977947726986</v>
      </c>
      <c r="F68" s="74">
        <f t="shared" si="4"/>
        <v>767.81032028799655</v>
      </c>
      <c r="G68" s="74">
        <f t="shared" si="5"/>
        <v>459143.66042515961</v>
      </c>
    </row>
    <row r="69" spans="2:7" x14ac:dyDescent="0.25">
      <c r="B69" s="18">
        <f t="shared" si="0"/>
        <v>61</v>
      </c>
      <c r="C69" s="74">
        <f t="shared" si="1"/>
        <v>459143.66042515961</v>
      </c>
      <c r="D69" s="74">
        <f t="shared" si="2"/>
        <v>2684.1081150606951</v>
      </c>
      <c r="E69" s="74">
        <f t="shared" si="3"/>
        <v>1913.0985851048317</v>
      </c>
      <c r="F69" s="74">
        <f t="shared" si="4"/>
        <v>771.0095299558634</v>
      </c>
      <c r="G69" s="74">
        <f t="shared" si="5"/>
        <v>458372.65089520375</v>
      </c>
    </row>
    <row r="70" spans="2:7" x14ac:dyDescent="0.25">
      <c r="B70" s="18">
        <f t="shared" si="0"/>
        <v>62</v>
      </c>
      <c r="C70" s="74">
        <f t="shared" si="1"/>
        <v>458372.65089520375</v>
      </c>
      <c r="D70" s="74">
        <f t="shared" si="2"/>
        <v>2684.1081150606951</v>
      </c>
      <c r="E70" s="74">
        <f t="shared" si="3"/>
        <v>1909.8860453966824</v>
      </c>
      <c r="F70" s="74">
        <f t="shared" si="4"/>
        <v>774.22206966401268</v>
      </c>
      <c r="G70" s="74">
        <f t="shared" si="5"/>
        <v>457598.42882553977</v>
      </c>
    </row>
    <row r="71" spans="2:7" x14ac:dyDescent="0.25">
      <c r="B71" s="18">
        <f t="shared" si="0"/>
        <v>63</v>
      </c>
      <c r="C71" s="74">
        <f t="shared" si="1"/>
        <v>457598.42882553977</v>
      </c>
      <c r="D71" s="74">
        <f t="shared" si="2"/>
        <v>2684.1081150606951</v>
      </c>
      <c r="E71" s="74">
        <f t="shared" si="3"/>
        <v>1906.6601201064159</v>
      </c>
      <c r="F71" s="74">
        <f t="shared" si="4"/>
        <v>777.44799495427924</v>
      </c>
      <c r="G71" s="74">
        <f t="shared" si="5"/>
        <v>456820.98083058547</v>
      </c>
    </row>
    <row r="72" spans="2:7" x14ac:dyDescent="0.25">
      <c r="B72" s="18">
        <f t="shared" si="0"/>
        <v>64</v>
      </c>
      <c r="C72" s="74">
        <f t="shared" si="1"/>
        <v>456820.98083058547</v>
      </c>
      <c r="D72" s="74">
        <f t="shared" si="2"/>
        <v>2684.1081150606951</v>
      </c>
      <c r="E72" s="74">
        <f t="shared" si="3"/>
        <v>1903.4207534607729</v>
      </c>
      <c r="F72" s="74">
        <f t="shared" si="4"/>
        <v>780.68736159992227</v>
      </c>
      <c r="G72" s="74">
        <f t="shared" si="5"/>
        <v>456040.29346898553</v>
      </c>
    </row>
    <row r="73" spans="2:7" x14ac:dyDescent="0.25">
      <c r="B73" s="18">
        <f t="shared" si="0"/>
        <v>65</v>
      </c>
      <c r="C73" s="74">
        <f t="shared" si="1"/>
        <v>456040.29346898553</v>
      </c>
      <c r="D73" s="74">
        <f t="shared" si="2"/>
        <v>2684.1081150606951</v>
      </c>
      <c r="E73" s="74">
        <f t="shared" si="3"/>
        <v>1900.1678894541064</v>
      </c>
      <c r="F73" s="74">
        <f t="shared" si="4"/>
        <v>783.94022560658868</v>
      </c>
      <c r="G73" s="74">
        <f t="shared" si="5"/>
        <v>455256.35324337892</v>
      </c>
    </row>
    <row r="74" spans="2:7" x14ac:dyDescent="0.25">
      <c r="B74" s="18">
        <f t="shared" si="0"/>
        <v>66</v>
      </c>
      <c r="C74" s="74">
        <f t="shared" si="1"/>
        <v>455256.35324337892</v>
      </c>
      <c r="D74" s="74">
        <f t="shared" si="2"/>
        <v>2684.1081150606951</v>
      </c>
      <c r="E74" s="74">
        <f t="shared" si="3"/>
        <v>1896.9014718474125</v>
      </c>
      <c r="F74" s="74">
        <f t="shared" si="4"/>
        <v>787.20664321328263</v>
      </c>
      <c r="G74" s="74">
        <f t="shared" si="5"/>
        <v>454469.14660016564</v>
      </c>
    </row>
    <row r="75" spans="2:7" x14ac:dyDescent="0.25">
      <c r="B75" s="18">
        <f t="shared" ref="B75:B138" si="6">B74+1</f>
        <v>67</v>
      </c>
      <c r="C75" s="74">
        <f t="shared" ref="C75:C138" si="7">G74</f>
        <v>454469.14660016564</v>
      </c>
      <c r="D75" s="74">
        <f t="shared" ref="D75:D138" si="8">D74</f>
        <v>2684.1081150606951</v>
      </c>
      <c r="E75" s="74">
        <f t="shared" ref="E75:E138" si="9">$C$4*C75/12</f>
        <v>1893.6214441673571</v>
      </c>
      <c r="F75" s="74">
        <f t="shared" ref="F75:F138" si="10">D75-E75</f>
        <v>790.48667089333799</v>
      </c>
      <c r="G75" s="74">
        <f t="shared" ref="G75:G138" si="11">C75-F75</f>
        <v>453678.65992927231</v>
      </c>
    </row>
    <row r="76" spans="2:7" x14ac:dyDescent="0.25">
      <c r="B76" s="18">
        <f t="shared" si="6"/>
        <v>68</v>
      </c>
      <c r="C76" s="74">
        <f t="shared" si="7"/>
        <v>453678.65992927231</v>
      </c>
      <c r="D76" s="74">
        <f t="shared" si="8"/>
        <v>2684.1081150606951</v>
      </c>
      <c r="E76" s="74">
        <f t="shared" si="9"/>
        <v>1890.3277497053014</v>
      </c>
      <c r="F76" s="74">
        <f t="shared" si="10"/>
        <v>793.78036535539377</v>
      </c>
      <c r="G76" s="74">
        <f t="shared" si="11"/>
        <v>452884.87956391694</v>
      </c>
    </row>
    <row r="77" spans="2:7" x14ac:dyDescent="0.25">
      <c r="B77" s="18">
        <f t="shared" si="6"/>
        <v>69</v>
      </c>
      <c r="C77" s="74">
        <f t="shared" si="7"/>
        <v>452884.87956391694</v>
      </c>
      <c r="D77" s="74">
        <f t="shared" si="8"/>
        <v>2684.1081150606951</v>
      </c>
      <c r="E77" s="74">
        <f t="shared" si="9"/>
        <v>1887.0203315163208</v>
      </c>
      <c r="F77" s="74">
        <f t="shared" si="10"/>
        <v>797.08778354437436</v>
      </c>
      <c r="G77" s="74">
        <f t="shared" si="11"/>
        <v>452087.79178037256</v>
      </c>
    </row>
    <row r="78" spans="2:7" x14ac:dyDescent="0.25">
      <c r="B78" s="18">
        <f t="shared" si="6"/>
        <v>70</v>
      </c>
      <c r="C78" s="74">
        <f t="shared" si="7"/>
        <v>452087.79178037256</v>
      </c>
      <c r="D78" s="74">
        <f t="shared" si="8"/>
        <v>2684.1081150606951</v>
      </c>
      <c r="E78" s="74">
        <f t="shared" si="9"/>
        <v>1883.6991324182191</v>
      </c>
      <c r="F78" s="74">
        <f t="shared" si="10"/>
        <v>800.40898264247608</v>
      </c>
      <c r="G78" s="74">
        <f t="shared" si="11"/>
        <v>451287.3827977301</v>
      </c>
    </row>
    <row r="79" spans="2:7" x14ac:dyDescent="0.25">
      <c r="B79" s="18">
        <f t="shared" si="6"/>
        <v>71</v>
      </c>
      <c r="C79" s="74">
        <f t="shared" si="7"/>
        <v>451287.3827977301</v>
      </c>
      <c r="D79" s="74">
        <f t="shared" si="8"/>
        <v>2684.1081150606951</v>
      </c>
      <c r="E79" s="74">
        <f t="shared" si="9"/>
        <v>1880.3640949905421</v>
      </c>
      <c r="F79" s="74">
        <f t="shared" si="10"/>
        <v>803.74402007015306</v>
      </c>
      <c r="G79" s="74">
        <f t="shared" si="11"/>
        <v>450483.63877765997</v>
      </c>
    </row>
    <row r="80" spans="2:7" x14ac:dyDescent="0.25">
      <c r="B80" s="18">
        <f t="shared" si="6"/>
        <v>72</v>
      </c>
      <c r="C80" s="74">
        <f t="shared" si="7"/>
        <v>450483.63877765997</v>
      </c>
      <c r="D80" s="74">
        <f t="shared" si="8"/>
        <v>2684.1081150606951</v>
      </c>
      <c r="E80" s="74">
        <f t="shared" si="9"/>
        <v>1877.0151615735833</v>
      </c>
      <c r="F80" s="74">
        <f t="shared" si="10"/>
        <v>807.0929534871118</v>
      </c>
      <c r="G80" s="74">
        <f t="shared" si="11"/>
        <v>449676.54582417285</v>
      </c>
    </row>
    <row r="81" spans="2:7" x14ac:dyDescent="0.25">
      <c r="B81" s="18">
        <f t="shared" si="6"/>
        <v>73</v>
      </c>
      <c r="C81" s="74">
        <f t="shared" si="7"/>
        <v>449676.54582417285</v>
      </c>
      <c r="D81" s="74">
        <f t="shared" si="8"/>
        <v>2684.1081150606951</v>
      </c>
      <c r="E81" s="74">
        <f t="shared" si="9"/>
        <v>1873.6522742673869</v>
      </c>
      <c r="F81" s="74">
        <f t="shared" si="10"/>
        <v>810.4558407933082</v>
      </c>
      <c r="G81" s="74">
        <f t="shared" si="11"/>
        <v>448866.08998337953</v>
      </c>
    </row>
    <row r="82" spans="2:7" x14ac:dyDescent="0.25">
      <c r="B82" s="18">
        <f t="shared" si="6"/>
        <v>74</v>
      </c>
      <c r="C82" s="74">
        <f t="shared" si="7"/>
        <v>448866.08998337953</v>
      </c>
      <c r="D82" s="74">
        <f t="shared" si="8"/>
        <v>2684.1081150606951</v>
      </c>
      <c r="E82" s="74">
        <f t="shared" si="9"/>
        <v>1870.2753749307483</v>
      </c>
      <c r="F82" s="74">
        <f t="shared" si="10"/>
        <v>813.83274012994684</v>
      </c>
      <c r="G82" s="74">
        <f t="shared" si="11"/>
        <v>448052.25724324957</v>
      </c>
    </row>
    <row r="83" spans="2:7" x14ac:dyDescent="0.25">
      <c r="B83" s="18">
        <f t="shared" si="6"/>
        <v>75</v>
      </c>
      <c r="C83" s="74">
        <f t="shared" si="7"/>
        <v>448052.25724324957</v>
      </c>
      <c r="D83" s="74">
        <f t="shared" si="8"/>
        <v>2684.1081150606951</v>
      </c>
      <c r="E83" s="74">
        <f t="shared" si="9"/>
        <v>1866.8844051802068</v>
      </c>
      <c r="F83" s="74">
        <f t="shared" si="10"/>
        <v>817.22370988048829</v>
      </c>
      <c r="G83" s="74">
        <f t="shared" si="11"/>
        <v>447235.03353336907</v>
      </c>
    </row>
    <row r="84" spans="2:7" x14ac:dyDescent="0.25">
      <c r="B84" s="18">
        <f t="shared" si="6"/>
        <v>76</v>
      </c>
      <c r="C84" s="74">
        <f t="shared" si="7"/>
        <v>447235.03353336907</v>
      </c>
      <c r="D84" s="74">
        <f t="shared" si="8"/>
        <v>2684.1081150606951</v>
      </c>
      <c r="E84" s="74">
        <f t="shared" si="9"/>
        <v>1863.4793063890381</v>
      </c>
      <c r="F84" s="74">
        <f t="shared" si="10"/>
        <v>820.628808671657</v>
      </c>
      <c r="G84" s="74">
        <f t="shared" si="11"/>
        <v>446414.40472469741</v>
      </c>
    </row>
    <row r="85" spans="2:7" x14ac:dyDescent="0.25">
      <c r="B85" s="18">
        <f t="shared" si="6"/>
        <v>77</v>
      </c>
      <c r="C85" s="74">
        <f t="shared" si="7"/>
        <v>446414.40472469741</v>
      </c>
      <c r="D85" s="74">
        <f t="shared" si="8"/>
        <v>2684.1081150606951</v>
      </c>
      <c r="E85" s="74">
        <f t="shared" si="9"/>
        <v>1860.0600196862395</v>
      </c>
      <c r="F85" s="74">
        <f t="shared" si="10"/>
        <v>824.04809537445567</v>
      </c>
      <c r="G85" s="74">
        <f t="shared" si="11"/>
        <v>445590.35662932292</v>
      </c>
    </row>
    <row r="86" spans="2:7" x14ac:dyDescent="0.25">
      <c r="B86" s="18">
        <f t="shared" si="6"/>
        <v>78</v>
      </c>
      <c r="C86" s="74">
        <f t="shared" si="7"/>
        <v>445590.35662932292</v>
      </c>
      <c r="D86" s="74">
        <f t="shared" si="8"/>
        <v>2684.1081150606951</v>
      </c>
      <c r="E86" s="74">
        <f t="shared" si="9"/>
        <v>1856.6264859555122</v>
      </c>
      <c r="F86" s="74">
        <f t="shared" si="10"/>
        <v>827.48162910518295</v>
      </c>
      <c r="G86" s="74">
        <f t="shared" si="11"/>
        <v>444762.87500021775</v>
      </c>
    </row>
    <row r="87" spans="2:7" x14ac:dyDescent="0.25">
      <c r="B87" s="18">
        <f t="shared" si="6"/>
        <v>79</v>
      </c>
      <c r="C87" s="74">
        <f t="shared" si="7"/>
        <v>444762.87500021775</v>
      </c>
      <c r="D87" s="74">
        <f t="shared" si="8"/>
        <v>2684.1081150606951</v>
      </c>
      <c r="E87" s="74">
        <f t="shared" si="9"/>
        <v>1853.1786458342406</v>
      </c>
      <c r="F87" s="74">
        <f t="shared" si="10"/>
        <v>830.92946922645456</v>
      </c>
      <c r="G87" s="74">
        <f t="shared" si="11"/>
        <v>443931.9455309913</v>
      </c>
    </row>
    <row r="88" spans="2:7" x14ac:dyDescent="0.25">
      <c r="B88" s="18">
        <f t="shared" si="6"/>
        <v>80</v>
      </c>
      <c r="C88" s="74">
        <f t="shared" si="7"/>
        <v>443931.9455309913</v>
      </c>
      <c r="D88" s="74">
        <f t="shared" si="8"/>
        <v>2684.1081150606951</v>
      </c>
      <c r="E88" s="74">
        <f t="shared" si="9"/>
        <v>1849.7164397124641</v>
      </c>
      <c r="F88" s="74">
        <f t="shared" si="10"/>
        <v>834.39167534823105</v>
      </c>
      <c r="G88" s="74">
        <f t="shared" si="11"/>
        <v>443097.55385564308</v>
      </c>
    </row>
    <row r="89" spans="2:7" x14ac:dyDescent="0.25">
      <c r="B89" s="18">
        <f t="shared" si="6"/>
        <v>81</v>
      </c>
      <c r="C89" s="74">
        <f t="shared" si="7"/>
        <v>443097.55385564308</v>
      </c>
      <c r="D89" s="74">
        <f t="shared" si="8"/>
        <v>2684.1081150606951</v>
      </c>
      <c r="E89" s="74">
        <f t="shared" si="9"/>
        <v>1846.2398077318464</v>
      </c>
      <c r="F89" s="74">
        <f t="shared" si="10"/>
        <v>837.86830732884869</v>
      </c>
      <c r="G89" s="74">
        <f t="shared" si="11"/>
        <v>442259.68554831424</v>
      </c>
    </row>
    <row r="90" spans="2:7" x14ac:dyDescent="0.25">
      <c r="B90" s="18">
        <f t="shared" si="6"/>
        <v>82</v>
      </c>
      <c r="C90" s="74">
        <f t="shared" si="7"/>
        <v>442259.68554831424</v>
      </c>
      <c r="D90" s="74">
        <f t="shared" si="8"/>
        <v>2684.1081150606951</v>
      </c>
      <c r="E90" s="74">
        <f t="shared" si="9"/>
        <v>1842.7486897846429</v>
      </c>
      <c r="F90" s="74">
        <f t="shared" si="10"/>
        <v>841.35942527605221</v>
      </c>
      <c r="G90" s="74">
        <f t="shared" si="11"/>
        <v>441418.32612303819</v>
      </c>
    </row>
    <row r="91" spans="2:7" x14ac:dyDescent="0.25">
      <c r="B91" s="18">
        <f t="shared" si="6"/>
        <v>83</v>
      </c>
      <c r="C91" s="74">
        <f t="shared" si="7"/>
        <v>441418.32612303819</v>
      </c>
      <c r="D91" s="74">
        <f t="shared" si="8"/>
        <v>2684.1081150606951</v>
      </c>
      <c r="E91" s="74">
        <f t="shared" si="9"/>
        <v>1839.2430255126592</v>
      </c>
      <c r="F91" s="74">
        <f t="shared" si="10"/>
        <v>844.86508954803594</v>
      </c>
      <c r="G91" s="74">
        <f t="shared" si="11"/>
        <v>440573.46103349014</v>
      </c>
    </row>
    <row r="92" spans="2:7" x14ac:dyDescent="0.25">
      <c r="B92" s="18">
        <f t="shared" si="6"/>
        <v>84</v>
      </c>
      <c r="C92" s="74">
        <f t="shared" si="7"/>
        <v>440573.46103349014</v>
      </c>
      <c r="D92" s="74">
        <f t="shared" si="8"/>
        <v>2684.1081150606951</v>
      </c>
      <c r="E92" s="74">
        <f t="shared" si="9"/>
        <v>1835.722754306209</v>
      </c>
      <c r="F92" s="74">
        <f t="shared" si="10"/>
        <v>848.3853607544861</v>
      </c>
      <c r="G92" s="74">
        <f t="shared" si="11"/>
        <v>439725.07567273563</v>
      </c>
    </row>
    <row r="93" spans="2:7" x14ac:dyDescent="0.25">
      <c r="B93" s="18">
        <f t="shared" si="6"/>
        <v>85</v>
      </c>
      <c r="C93" s="74">
        <f t="shared" si="7"/>
        <v>439725.07567273563</v>
      </c>
      <c r="D93" s="74">
        <f t="shared" si="8"/>
        <v>2684.1081150606951</v>
      </c>
      <c r="E93" s="74">
        <f t="shared" si="9"/>
        <v>1832.1878153030655</v>
      </c>
      <c r="F93" s="74">
        <f t="shared" si="10"/>
        <v>851.92029975762966</v>
      </c>
      <c r="G93" s="74">
        <f t="shared" si="11"/>
        <v>438873.15537297801</v>
      </c>
    </row>
    <row r="94" spans="2:7" x14ac:dyDescent="0.25">
      <c r="B94" s="18">
        <f t="shared" si="6"/>
        <v>86</v>
      </c>
      <c r="C94" s="74">
        <f t="shared" si="7"/>
        <v>438873.15537297801</v>
      </c>
      <c r="D94" s="74">
        <f t="shared" si="8"/>
        <v>2684.1081150606951</v>
      </c>
      <c r="E94" s="74">
        <f t="shared" si="9"/>
        <v>1828.6381473874087</v>
      </c>
      <c r="F94" s="74">
        <f t="shared" si="10"/>
        <v>855.46996767328642</v>
      </c>
      <c r="G94" s="74">
        <f t="shared" si="11"/>
        <v>438017.68540530471</v>
      </c>
    </row>
    <row r="95" spans="2:7" x14ac:dyDescent="0.25">
      <c r="B95" s="18">
        <f t="shared" si="6"/>
        <v>87</v>
      </c>
      <c r="C95" s="74">
        <f t="shared" si="7"/>
        <v>438017.68540530471</v>
      </c>
      <c r="D95" s="74">
        <f t="shared" si="8"/>
        <v>2684.1081150606951</v>
      </c>
      <c r="E95" s="74">
        <f t="shared" si="9"/>
        <v>1825.0736891887698</v>
      </c>
      <c r="F95" s="74">
        <f t="shared" si="10"/>
        <v>859.03442587192535</v>
      </c>
      <c r="G95" s="74">
        <f t="shared" si="11"/>
        <v>437158.6509794328</v>
      </c>
    </row>
    <row r="96" spans="2:7" x14ac:dyDescent="0.25">
      <c r="B96" s="18">
        <f t="shared" si="6"/>
        <v>88</v>
      </c>
      <c r="C96" s="74">
        <f t="shared" si="7"/>
        <v>437158.6509794328</v>
      </c>
      <c r="D96" s="74">
        <f t="shared" si="8"/>
        <v>2684.1081150606951</v>
      </c>
      <c r="E96" s="74">
        <f t="shared" si="9"/>
        <v>1821.4943790809702</v>
      </c>
      <c r="F96" s="74">
        <f t="shared" si="10"/>
        <v>862.61373597972488</v>
      </c>
      <c r="G96" s="74">
        <f t="shared" si="11"/>
        <v>436296.03724345309</v>
      </c>
    </row>
    <row r="97" spans="2:7" x14ac:dyDescent="0.25">
      <c r="B97" s="18">
        <f t="shared" si="6"/>
        <v>89</v>
      </c>
      <c r="C97" s="74">
        <f t="shared" si="7"/>
        <v>436296.03724345309</v>
      </c>
      <c r="D97" s="74">
        <f t="shared" si="8"/>
        <v>2684.1081150606951</v>
      </c>
      <c r="E97" s="74">
        <f t="shared" si="9"/>
        <v>1817.9001551810545</v>
      </c>
      <c r="F97" s="74">
        <f t="shared" si="10"/>
        <v>866.20795987964061</v>
      </c>
      <c r="G97" s="74">
        <f t="shared" si="11"/>
        <v>435429.82928357343</v>
      </c>
    </row>
    <row r="98" spans="2:7" x14ac:dyDescent="0.25">
      <c r="B98" s="18">
        <f t="shared" si="6"/>
        <v>90</v>
      </c>
      <c r="C98" s="74">
        <f t="shared" si="7"/>
        <v>435429.82928357343</v>
      </c>
      <c r="D98" s="74">
        <f t="shared" si="8"/>
        <v>2684.1081150606951</v>
      </c>
      <c r="E98" s="74">
        <f t="shared" si="9"/>
        <v>1814.290955348223</v>
      </c>
      <c r="F98" s="74">
        <f t="shared" si="10"/>
        <v>869.81715971247218</v>
      </c>
      <c r="G98" s="74">
        <f t="shared" si="11"/>
        <v>434560.01212386094</v>
      </c>
    </row>
    <row r="99" spans="2:7" x14ac:dyDescent="0.25">
      <c r="B99" s="18">
        <f t="shared" si="6"/>
        <v>91</v>
      </c>
      <c r="C99" s="74">
        <f t="shared" si="7"/>
        <v>434560.01212386094</v>
      </c>
      <c r="D99" s="74">
        <f t="shared" si="8"/>
        <v>2684.1081150606951</v>
      </c>
      <c r="E99" s="74">
        <f t="shared" si="9"/>
        <v>1810.6667171827539</v>
      </c>
      <c r="F99" s="74">
        <f t="shared" si="10"/>
        <v>873.4413978779412</v>
      </c>
      <c r="G99" s="74">
        <f t="shared" si="11"/>
        <v>433686.57072598301</v>
      </c>
    </row>
    <row r="100" spans="2:7" x14ac:dyDescent="0.25">
      <c r="B100" s="18">
        <f t="shared" si="6"/>
        <v>92</v>
      </c>
      <c r="C100" s="74">
        <f t="shared" si="7"/>
        <v>433686.57072598301</v>
      </c>
      <c r="D100" s="74">
        <f t="shared" si="8"/>
        <v>2684.1081150606951</v>
      </c>
      <c r="E100" s="74">
        <f t="shared" si="9"/>
        <v>1807.0273780249292</v>
      </c>
      <c r="F100" s="74">
        <f t="shared" si="10"/>
        <v>877.08073703576588</v>
      </c>
      <c r="G100" s="74">
        <f t="shared" si="11"/>
        <v>432809.48998894723</v>
      </c>
    </row>
    <row r="101" spans="2:7" x14ac:dyDescent="0.25">
      <c r="B101" s="18">
        <f t="shared" si="6"/>
        <v>93</v>
      </c>
      <c r="C101" s="74">
        <f t="shared" si="7"/>
        <v>432809.48998894723</v>
      </c>
      <c r="D101" s="74">
        <f t="shared" si="8"/>
        <v>2684.1081150606951</v>
      </c>
      <c r="E101" s="74">
        <f t="shared" si="9"/>
        <v>1803.3728749539468</v>
      </c>
      <c r="F101" s="74">
        <f t="shared" si="10"/>
        <v>880.73524010674828</v>
      </c>
      <c r="G101" s="74">
        <f t="shared" si="11"/>
        <v>431928.75474884047</v>
      </c>
    </row>
    <row r="102" spans="2:7" x14ac:dyDescent="0.25">
      <c r="B102" s="18">
        <f t="shared" si="6"/>
        <v>94</v>
      </c>
      <c r="C102" s="74">
        <f t="shared" si="7"/>
        <v>431928.75474884047</v>
      </c>
      <c r="D102" s="74">
        <f t="shared" si="8"/>
        <v>2684.1081150606951</v>
      </c>
      <c r="E102" s="74">
        <f t="shared" si="9"/>
        <v>1799.7031447868355</v>
      </c>
      <c r="F102" s="74">
        <f t="shared" si="10"/>
        <v>884.40497027385959</v>
      </c>
      <c r="G102" s="74">
        <f t="shared" si="11"/>
        <v>431044.34977856663</v>
      </c>
    </row>
    <row r="103" spans="2:7" x14ac:dyDescent="0.25">
      <c r="B103" s="18">
        <f t="shared" si="6"/>
        <v>95</v>
      </c>
      <c r="C103" s="74">
        <f t="shared" si="7"/>
        <v>431044.34977856663</v>
      </c>
      <c r="D103" s="74">
        <f t="shared" si="8"/>
        <v>2684.1081150606951</v>
      </c>
      <c r="E103" s="74">
        <f t="shared" si="9"/>
        <v>1796.0181240773611</v>
      </c>
      <c r="F103" s="74">
        <f t="shared" si="10"/>
        <v>888.08999098333402</v>
      </c>
      <c r="G103" s="74">
        <f t="shared" si="11"/>
        <v>430156.25978758332</v>
      </c>
    </row>
    <row r="104" spans="2:7" x14ac:dyDescent="0.25">
      <c r="B104" s="18">
        <f t="shared" si="6"/>
        <v>96</v>
      </c>
      <c r="C104" s="74">
        <f t="shared" si="7"/>
        <v>430156.25978758332</v>
      </c>
      <c r="D104" s="74">
        <f t="shared" si="8"/>
        <v>2684.1081150606951</v>
      </c>
      <c r="E104" s="74">
        <f t="shared" si="9"/>
        <v>1792.3177491149306</v>
      </c>
      <c r="F104" s="74">
        <f t="shared" si="10"/>
        <v>891.79036594576451</v>
      </c>
      <c r="G104" s="74">
        <f t="shared" si="11"/>
        <v>429264.46942163754</v>
      </c>
    </row>
    <row r="105" spans="2:7" x14ac:dyDescent="0.25">
      <c r="B105" s="18">
        <f t="shared" si="6"/>
        <v>97</v>
      </c>
      <c r="C105" s="74">
        <f t="shared" si="7"/>
        <v>429264.46942163754</v>
      </c>
      <c r="D105" s="74">
        <f t="shared" si="8"/>
        <v>2684.1081150606951</v>
      </c>
      <c r="E105" s="74">
        <f t="shared" si="9"/>
        <v>1788.6019559234899</v>
      </c>
      <c r="F105" s="74">
        <f t="shared" si="10"/>
        <v>895.50615913720526</v>
      </c>
      <c r="G105" s="74">
        <f t="shared" si="11"/>
        <v>428368.96326250036</v>
      </c>
    </row>
    <row r="106" spans="2:7" x14ac:dyDescent="0.25">
      <c r="B106" s="18">
        <f t="shared" si="6"/>
        <v>98</v>
      </c>
      <c r="C106" s="74">
        <f t="shared" si="7"/>
        <v>428368.96326250036</v>
      </c>
      <c r="D106" s="74">
        <f t="shared" si="8"/>
        <v>2684.1081150606951</v>
      </c>
      <c r="E106" s="74">
        <f t="shared" si="9"/>
        <v>1784.8706802604183</v>
      </c>
      <c r="F106" s="74">
        <f t="shared" si="10"/>
        <v>899.23743480027679</v>
      </c>
      <c r="G106" s="74">
        <f t="shared" si="11"/>
        <v>427469.72582770011</v>
      </c>
    </row>
    <row r="107" spans="2:7" x14ac:dyDescent="0.25">
      <c r="B107" s="18">
        <f t="shared" si="6"/>
        <v>99</v>
      </c>
      <c r="C107" s="74">
        <f t="shared" si="7"/>
        <v>427469.72582770011</v>
      </c>
      <c r="D107" s="74">
        <f t="shared" si="8"/>
        <v>2684.1081150606951</v>
      </c>
      <c r="E107" s="74">
        <f t="shared" si="9"/>
        <v>1781.1238576154174</v>
      </c>
      <c r="F107" s="74">
        <f t="shared" si="10"/>
        <v>902.98425744527776</v>
      </c>
      <c r="G107" s="74">
        <f t="shared" si="11"/>
        <v>426566.74157025485</v>
      </c>
    </row>
    <row r="108" spans="2:7" x14ac:dyDescent="0.25">
      <c r="B108" s="18">
        <f t="shared" si="6"/>
        <v>100</v>
      </c>
      <c r="C108" s="74">
        <f t="shared" si="7"/>
        <v>426566.74157025485</v>
      </c>
      <c r="D108" s="74">
        <f t="shared" si="8"/>
        <v>2684.1081150606951</v>
      </c>
      <c r="E108" s="74">
        <f t="shared" si="9"/>
        <v>1777.3614232093953</v>
      </c>
      <c r="F108" s="74">
        <f t="shared" si="10"/>
        <v>906.74669185129983</v>
      </c>
      <c r="G108" s="74">
        <f t="shared" si="11"/>
        <v>425659.99487840355</v>
      </c>
    </row>
    <row r="109" spans="2:7" x14ac:dyDescent="0.25">
      <c r="B109" s="18">
        <f t="shared" si="6"/>
        <v>101</v>
      </c>
      <c r="C109" s="74">
        <f t="shared" si="7"/>
        <v>425659.99487840355</v>
      </c>
      <c r="D109" s="74">
        <f t="shared" si="8"/>
        <v>2684.1081150606951</v>
      </c>
      <c r="E109" s="74">
        <f t="shared" si="9"/>
        <v>1773.5833119933484</v>
      </c>
      <c r="F109" s="74">
        <f t="shared" si="10"/>
        <v>910.52480306734674</v>
      </c>
      <c r="G109" s="74">
        <f t="shared" si="11"/>
        <v>424749.47007533623</v>
      </c>
    </row>
    <row r="110" spans="2:7" x14ac:dyDescent="0.25">
      <c r="B110" s="18">
        <f t="shared" si="6"/>
        <v>102</v>
      </c>
      <c r="C110" s="74">
        <f t="shared" si="7"/>
        <v>424749.47007533623</v>
      </c>
      <c r="D110" s="74">
        <f t="shared" si="8"/>
        <v>2684.1081150606951</v>
      </c>
      <c r="E110" s="74">
        <f t="shared" si="9"/>
        <v>1769.7894586472346</v>
      </c>
      <c r="F110" s="74">
        <f t="shared" si="10"/>
        <v>914.31865641346053</v>
      </c>
      <c r="G110" s="74">
        <f t="shared" si="11"/>
        <v>423835.15141892276</v>
      </c>
    </row>
    <row r="111" spans="2:7" x14ac:dyDescent="0.25">
      <c r="B111" s="18">
        <f t="shared" si="6"/>
        <v>103</v>
      </c>
      <c r="C111" s="74">
        <f t="shared" si="7"/>
        <v>423835.15141892276</v>
      </c>
      <c r="D111" s="74">
        <f t="shared" si="8"/>
        <v>2684.1081150606951</v>
      </c>
      <c r="E111" s="74">
        <f t="shared" si="9"/>
        <v>1765.9797975788449</v>
      </c>
      <c r="F111" s="74">
        <f t="shared" si="10"/>
        <v>918.12831748185022</v>
      </c>
      <c r="G111" s="74">
        <f t="shared" si="11"/>
        <v>422917.02310144092</v>
      </c>
    </row>
    <row r="112" spans="2:7" x14ac:dyDescent="0.25">
      <c r="B112" s="18">
        <f t="shared" si="6"/>
        <v>104</v>
      </c>
      <c r="C112" s="74">
        <f t="shared" si="7"/>
        <v>422917.02310144092</v>
      </c>
      <c r="D112" s="74">
        <f t="shared" si="8"/>
        <v>2684.1081150606951</v>
      </c>
      <c r="E112" s="74">
        <f t="shared" si="9"/>
        <v>1762.1542629226706</v>
      </c>
      <c r="F112" s="74">
        <f t="shared" si="10"/>
        <v>921.95385213802456</v>
      </c>
      <c r="G112" s="74">
        <f t="shared" si="11"/>
        <v>421995.06924930291</v>
      </c>
    </row>
    <row r="113" spans="2:7" x14ac:dyDescent="0.25">
      <c r="B113" s="18">
        <f t="shared" si="6"/>
        <v>105</v>
      </c>
      <c r="C113" s="74">
        <f t="shared" si="7"/>
        <v>421995.06924930291</v>
      </c>
      <c r="D113" s="74">
        <f t="shared" si="8"/>
        <v>2684.1081150606951</v>
      </c>
      <c r="E113" s="74">
        <f t="shared" si="9"/>
        <v>1758.3127885387621</v>
      </c>
      <c r="F113" s="74">
        <f t="shared" si="10"/>
        <v>925.79532652193302</v>
      </c>
      <c r="G113" s="74">
        <f t="shared" si="11"/>
        <v>421069.27392278099</v>
      </c>
    </row>
    <row r="114" spans="2:7" x14ac:dyDescent="0.25">
      <c r="B114" s="18">
        <f t="shared" si="6"/>
        <v>106</v>
      </c>
      <c r="C114" s="74">
        <f t="shared" si="7"/>
        <v>421069.27392278099</v>
      </c>
      <c r="D114" s="74">
        <f t="shared" si="8"/>
        <v>2684.1081150606951</v>
      </c>
      <c r="E114" s="74">
        <f t="shared" si="9"/>
        <v>1754.4553080115875</v>
      </c>
      <c r="F114" s="74">
        <f t="shared" si="10"/>
        <v>929.65280704910765</v>
      </c>
      <c r="G114" s="74">
        <f t="shared" si="11"/>
        <v>420139.62111573189</v>
      </c>
    </row>
    <row r="115" spans="2:7" x14ac:dyDescent="0.25">
      <c r="B115" s="18">
        <f t="shared" si="6"/>
        <v>107</v>
      </c>
      <c r="C115" s="74">
        <f t="shared" si="7"/>
        <v>420139.62111573189</v>
      </c>
      <c r="D115" s="74">
        <f t="shared" si="8"/>
        <v>2684.1081150606951</v>
      </c>
      <c r="E115" s="74">
        <f t="shared" si="9"/>
        <v>1750.5817546488831</v>
      </c>
      <c r="F115" s="74">
        <f t="shared" si="10"/>
        <v>933.52636041181199</v>
      </c>
      <c r="G115" s="74">
        <f t="shared" si="11"/>
        <v>419206.09475532005</v>
      </c>
    </row>
    <row r="116" spans="2:7" x14ac:dyDescent="0.25">
      <c r="B116" s="18">
        <f t="shared" si="6"/>
        <v>108</v>
      </c>
      <c r="C116" s="74">
        <f t="shared" si="7"/>
        <v>419206.09475532005</v>
      </c>
      <c r="D116" s="74">
        <f t="shared" si="8"/>
        <v>2684.1081150606951</v>
      </c>
      <c r="E116" s="74">
        <f t="shared" si="9"/>
        <v>1746.6920614805003</v>
      </c>
      <c r="F116" s="74">
        <f t="shared" si="10"/>
        <v>937.41605358019478</v>
      </c>
      <c r="G116" s="74">
        <f t="shared" si="11"/>
        <v>418268.67870173987</v>
      </c>
    </row>
    <row r="117" spans="2:7" x14ac:dyDescent="0.25">
      <c r="B117" s="18">
        <f t="shared" si="6"/>
        <v>109</v>
      </c>
      <c r="C117" s="74">
        <f t="shared" si="7"/>
        <v>418268.67870173987</v>
      </c>
      <c r="D117" s="74">
        <f t="shared" si="8"/>
        <v>2684.1081150606951</v>
      </c>
      <c r="E117" s="74">
        <f t="shared" si="9"/>
        <v>1742.7861612572497</v>
      </c>
      <c r="F117" s="74">
        <f t="shared" si="10"/>
        <v>941.32195380344547</v>
      </c>
      <c r="G117" s="74">
        <f t="shared" si="11"/>
        <v>417327.35674793646</v>
      </c>
    </row>
    <row r="118" spans="2:7" x14ac:dyDescent="0.25">
      <c r="B118" s="18">
        <f t="shared" si="6"/>
        <v>110</v>
      </c>
      <c r="C118" s="74">
        <f t="shared" si="7"/>
        <v>417327.35674793646</v>
      </c>
      <c r="D118" s="74">
        <f t="shared" si="8"/>
        <v>2684.1081150606951</v>
      </c>
      <c r="E118" s="74">
        <f t="shared" si="9"/>
        <v>1738.8639864497354</v>
      </c>
      <c r="F118" s="74">
        <f t="shared" si="10"/>
        <v>945.24412861095971</v>
      </c>
      <c r="G118" s="74">
        <f t="shared" si="11"/>
        <v>416382.11261932552</v>
      </c>
    </row>
    <row r="119" spans="2:7" x14ac:dyDescent="0.25">
      <c r="B119" s="18">
        <f t="shared" si="6"/>
        <v>111</v>
      </c>
      <c r="C119" s="74">
        <f t="shared" si="7"/>
        <v>416382.11261932552</v>
      </c>
      <c r="D119" s="74">
        <f t="shared" si="8"/>
        <v>2684.1081150606951</v>
      </c>
      <c r="E119" s="74">
        <f t="shared" si="9"/>
        <v>1734.9254692471898</v>
      </c>
      <c r="F119" s="74">
        <f t="shared" si="10"/>
        <v>949.18264581350536</v>
      </c>
      <c r="G119" s="74">
        <f t="shared" si="11"/>
        <v>415432.92997351201</v>
      </c>
    </row>
    <row r="120" spans="2:7" x14ac:dyDescent="0.25">
      <c r="B120" s="18">
        <f t="shared" si="6"/>
        <v>112</v>
      </c>
      <c r="C120" s="74">
        <f t="shared" si="7"/>
        <v>415432.92997351201</v>
      </c>
      <c r="D120" s="74">
        <f t="shared" si="8"/>
        <v>2684.1081150606951</v>
      </c>
      <c r="E120" s="74">
        <f t="shared" si="9"/>
        <v>1730.9705415563003</v>
      </c>
      <c r="F120" s="74">
        <f t="shared" si="10"/>
        <v>953.13757350439482</v>
      </c>
      <c r="G120" s="74">
        <f t="shared" si="11"/>
        <v>414479.7924000076</v>
      </c>
    </row>
    <row r="121" spans="2:7" x14ac:dyDescent="0.25">
      <c r="B121" s="18">
        <f t="shared" si="6"/>
        <v>113</v>
      </c>
      <c r="C121" s="74">
        <f t="shared" si="7"/>
        <v>414479.7924000076</v>
      </c>
      <c r="D121" s="74">
        <f t="shared" si="8"/>
        <v>2684.1081150606951</v>
      </c>
      <c r="E121" s="74">
        <f t="shared" si="9"/>
        <v>1726.9991350000319</v>
      </c>
      <c r="F121" s="74">
        <f t="shared" si="10"/>
        <v>957.10898006066327</v>
      </c>
      <c r="G121" s="74">
        <f t="shared" si="11"/>
        <v>413522.68341994693</v>
      </c>
    </row>
    <row r="122" spans="2:7" x14ac:dyDescent="0.25">
      <c r="B122" s="18">
        <f t="shared" si="6"/>
        <v>114</v>
      </c>
      <c r="C122" s="74">
        <f t="shared" si="7"/>
        <v>413522.68341994693</v>
      </c>
      <c r="D122" s="74">
        <f t="shared" si="8"/>
        <v>2684.1081150606951</v>
      </c>
      <c r="E122" s="74">
        <f t="shared" si="9"/>
        <v>1723.0111809164457</v>
      </c>
      <c r="F122" s="74">
        <f t="shared" si="10"/>
        <v>961.09693414424942</v>
      </c>
      <c r="G122" s="74">
        <f t="shared" si="11"/>
        <v>412561.58648580266</v>
      </c>
    </row>
    <row r="123" spans="2:7" x14ac:dyDescent="0.25">
      <c r="B123" s="18">
        <f t="shared" si="6"/>
        <v>115</v>
      </c>
      <c r="C123" s="74">
        <f t="shared" si="7"/>
        <v>412561.58648580266</v>
      </c>
      <c r="D123" s="74">
        <f t="shared" si="8"/>
        <v>2684.1081150606951</v>
      </c>
      <c r="E123" s="74">
        <f t="shared" si="9"/>
        <v>1719.0066103575111</v>
      </c>
      <c r="F123" s="74">
        <f t="shared" si="10"/>
        <v>965.10150470318399</v>
      </c>
      <c r="G123" s="74">
        <f t="shared" si="11"/>
        <v>411596.48498109949</v>
      </c>
    </row>
    <row r="124" spans="2:7" x14ac:dyDescent="0.25">
      <c r="B124" s="18">
        <f t="shared" si="6"/>
        <v>116</v>
      </c>
      <c r="C124" s="74">
        <f t="shared" si="7"/>
        <v>411596.48498109949</v>
      </c>
      <c r="D124" s="74">
        <f t="shared" si="8"/>
        <v>2684.1081150606951</v>
      </c>
      <c r="E124" s="74">
        <f t="shared" si="9"/>
        <v>1714.9853540879146</v>
      </c>
      <c r="F124" s="74">
        <f t="shared" si="10"/>
        <v>969.1227609727805</v>
      </c>
      <c r="G124" s="74">
        <f t="shared" si="11"/>
        <v>410627.36222012673</v>
      </c>
    </row>
    <row r="125" spans="2:7" x14ac:dyDescent="0.25">
      <c r="B125" s="18">
        <f t="shared" si="6"/>
        <v>117</v>
      </c>
      <c r="C125" s="74">
        <f t="shared" si="7"/>
        <v>410627.36222012673</v>
      </c>
      <c r="D125" s="74">
        <f t="shared" si="8"/>
        <v>2684.1081150606951</v>
      </c>
      <c r="E125" s="74">
        <f t="shared" si="9"/>
        <v>1710.9473425838614</v>
      </c>
      <c r="F125" s="74">
        <f t="shared" si="10"/>
        <v>973.1607724768337</v>
      </c>
      <c r="G125" s="74">
        <f t="shared" si="11"/>
        <v>409654.20144764992</v>
      </c>
    </row>
    <row r="126" spans="2:7" x14ac:dyDescent="0.25">
      <c r="B126" s="18">
        <f t="shared" si="6"/>
        <v>118</v>
      </c>
      <c r="C126" s="74">
        <f t="shared" si="7"/>
        <v>409654.20144764992</v>
      </c>
      <c r="D126" s="74">
        <f t="shared" si="8"/>
        <v>2684.1081150606951</v>
      </c>
      <c r="E126" s="74">
        <f t="shared" si="9"/>
        <v>1706.892506031875</v>
      </c>
      <c r="F126" s="74">
        <f t="shared" si="10"/>
        <v>977.21560902882015</v>
      </c>
      <c r="G126" s="74">
        <f t="shared" si="11"/>
        <v>408676.9858386211</v>
      </c>
    </row>
    <row r="127" spans="2:7" x14ac:dyDescent="0.25">
      <c r="B127" s="18">
        <f t="shared" si="6"/>
        <v>119</v>
      </c>
      <c r="C127" s="74">
        <f t="shared" si="7"/>
        <v>408676.9858386211</v>
      </c>
      <c r="D127" s="74">
        <f t="shared" si="8"/>
        <v>2684.1081150606951</v>
      </c>
      <c r="E127" s="74">
        <f t="shared" si="9"/>
        <v>1702.820774327588</v>
      </c>
      <c r="F127" s="74">
        <f t="shared" si="10"/>
        <v>981.28734073310716</v>
      </c>
      <c r="G127" s="74">
        <f t="shared" si="11"/>
        <v>407695.69849788799</v>
      </c>
    </row>
    <row r="128" spans="2:7" x14ac:dyDescent="0.25">
      <c r="B128" s="18">
        <f t="shared" si="6"/>
        <v>120</v>
      </c>
      <c r="C128" s="74">
        <f t="shared" si="7"/>
        <v>407695.69849788799</v>
      </c>
      <c r="D128" s="74">
        <f t="shared" si="8"/>
        <v>2684.1081150606951</v>
      </c>
      <c r="E128" s="74">
        <f t="shared" si="9"/>
        <v>1698.7320770745334</v>
      </c>
      <c r="F128" s="74">
        <f t="shared" si="10"/>
        <v>985.37603798616169</v>
      </c>
      <c r="G128" s="74">
        <f t="shared" si="11"/>
        <v>406710.32245990186</v>
      </c>
    </row>
    <row r="129" spans="2:7" x14ac:dyDescent="0.25">
      <c r="B129" s="18">
        <f t="shared" si="6"/>
        <v>121</v>
      </c>
      <c r="C129" s="74">
        <f t="shared" si="7"/>
        <v>406710.32245990186</v>
      </c>
      <c r="D129" s="74">
        <f t="shared" si="8"/>
        <v>2684.1081150606951</v>
      </c>
      <c r="E129" s="74">
        <f t="shared" si="9"/>
        <v>1694.6263435829244</v>
      </c>
      <c r="F129" s="74">
        <f t="shared" si="10"/>
        <v>989.48177147777074</v>
      </c>
      <c r="G129" s="74">
        <f t="shared" si="11"/>
        <v>405720.84068842407</v>
      </c>
    </row>
    <row r="130" spans="2:7" x14ac:dyDescent="0.25">
      <c r="B130" s="18">
        <f t="shared" si="6"/>
        <v>122</v>
      </c>
      <c r="C130" s="74">
        <f t="shared" si="7"/>
        <v>405720.84068842407</v>
      </c>
      <c r="D130" s="74">
        <f t="shared" si="8"/>
        <v>2684.1081150606951</v>
      </c>
      <c r="E130" s="74">
        <f t="shared" si="9"/>
        <v>1690.5035028684335</v>
      </c>
      <c r="F130" s="74">
        <f t="shared" si="10"/>
        <v>993.60461219226158</v>
      </c>
      <c r="G130" s="74">
        <f t="shared" si="11"/>
        <v>404727.23607623181</v>
      </c>
    </row>
    <row r="131" spans="2:7" x14ac:dyDescent="0.25">
      <c r="B131" s="18">
        <f t="shared" si="6"/>
        <v>123</v>
      </c>
      <c r="C131" s="74">
        <f t="shared" si="7"/>
        <v>404727.23607623181</v>
      </c>
      <c r="D131" s="74">
        <f t="shared" si="8"/>
        <v>2684.1081150606951</v>
      </c>
      <c r="E131" s="74">
        <f t="shared" si="9"/>
        <v>1686.3634836509661</v>
      </c>
      <c r="F131" s="74">
        <f t="shared" si="10"/>
        <v>997.74463140972898</v>
      </c>
      <c r="G131" s="74">
        <f t="shared" si="11"/>
        <v>403729.49144482211</v>
      </c>
    </row>
    <row r="132" spans="2:7" x14ac:dyDescent="0.25">
      <c r="B132" s="18">
        <f t="shared" si="6"/>
        <v>124</v>
      </c>
      <c r="C132" s="74">
        <f t="shared" si="7"/>
        <v>403729.49144482211</v>
      </c>
      <c r="D132" s="74">
        <f t="shared" si="8"/>
        <v>2684.1081150606951</v>
      </c>
      <c r="E132" s="74">
        <f t="shared" si="9"/>
        <v>1682.2062143534256</v>
      </c>
      <c r="F132" s="74">
        <f t="shared" si="10"/>
        <v>1001.9019007072695</v>
      </c>
      <c r="G132" s="74">
        <f t="shared" si="11"/>
        <v>402727.58954411483</v>
      </c>
    </row>
    <row r="133" spans="2:7" x14ac:dyDescent="0.25">
      <c r="B133" s="18">
        <f t="shared" si="6"/>
        <v>125</v>
      </c>
      <c r="C133" s="74">
        <f t="shared" si="7"/>
        <v>402727.58954411483</v>
      </c>
      <c r="D133" s="74">
        <f t="shared" si="8"/>
        <v>2684.1081150606951</v>
      </c>
      <c r="E133" s="74">
        <f t="shared" si="9"/>
        <v>1678.0316231004788</v>
      </c>
      <c r="F133" s="74">
        <f t="shared" si="10"/>
        <v>1006.0764919602163</v>
      </c>
      <c r="G133" s="74">
        <f t="shared" si="11"/>
        <v>401721.51305215462</v>
      </c>
    </row>
    <row r="134" spans="2:7" x14ac:dyDescent="0.25">
      <c r="B134" s="18">
        <f t="shared" si="6"/>
        <v>126</v>
      </c>
      <c r="C134" s="74">
        <f t="shared" si="7"/>
        <v>401721.51305215462</v>
      </c>
      <c r="D134" s="74">
        <f t="shared" si="8"/>
        <v>2684.1081150606951</v>
      </c>
      <c r="E134" s="74">
        <f t="shared" si="9"/>
        <v>1673.839637717311</v>
      </c>
      <c r="F134" s="74">
        <f t="shared" si="10"/>
        <v>1010.2684773433841</v>
      </c>
      <c r="G134" s="74">
        <f t="shared" si="11"/>
        <v>400711.24457481125</v>
      </c>
    </row>
    <row r="135" spans="2:7" x14ac:dyDescent="0.25">
      <c r="B135" s="18">
        <f t="shared" si="6"/>
        <v>127</v>
      </c>
      <c r="C135" s="74">
        <f t="shared" si="7"/>
        <v>400711.24457481125</v>
      </c>
      <c r="D135" s="74">
        <f t="shared" si="8"/>
        <v>2684.1081150606951</v>
      </c>
      <c r="E135" s="74">
        <f t="shared" si="9"/>
        <v>1669.6301857283804</v>
      </c>
      <c r="F135" s="74">
        <f t="shared" si="10"/>
        <v>1014.4779293323147</v>
      </c>
      <c r="G135" s="74">
        <f t="shared" si="11"/>
        <v>399696.76664547896</v>
      </c>
    </row>
    <row r="136" spans="2:7" x14ac:dyDescent="0.25">
      <c r="B136" s="18">
        <f t="shared" si="6"/>
        <v>128</v>
      </c>
      <c r="C136" s="74">
        <f t="shared" si="7"/>
        <v>399696.76664547896</v>
      </c>
      <c r="D136" s="74">
        <f t="shared" si="8"/>
        <v>2684.1081150606951</v>
      </c>
      <c r="E136" s="74">
        <f t="shared" si="9"/>
        <v>1665.4031943561624</v>
      </c>
      <c r="F136" s="74">
        <f t="shared" si="10"/>
        <v>1018.7049207045327</v>
      </c>
      <c r="G136" s="74">
        <f t="shared" si="11"/>
        <v>398678.06172477442</v>
      </c>
    </row>
    <row r="137" spans="2:7" x14ac:dyDescent="0.25">
      <c r="B137" s="18">
        <f t="shared" si="6"/>
        <v>129</v>
      </c>
      <c r="C137" s="74">
        <f t="shared" si="7"/>
        <v>398678.06172477442</v>
      </c>
      <c r="D137" s="74">
        <f t="shared" si="8"/>
        <v>2684.1081150606951</v>
      </c>
      <c r="E137" s="74">
        <f t="shared" si="9"/>
        <v>1661.1585905198936</v>
      </c>
      <c r="F137" s="74">
        <f t="shared" si="10"/>
        <v>1022.9495245408016</v>
      </c>
      <c r="G137" s="74">
        <f t="shared" si="11"/>
        <v>397655.11220023362</v>
      </c>
    </row>
    <row r="138" spans="2:7" x14ac:dyDescent="0.25">
      <c r="B138" s="18">
        <f t="shared" si="6"/>
        <v>130</v>
      </c>
      <c r="C138" s="74">
        <f t="shared" si="7"/>
        <v>397655.11220023362</v>
      </c>
      <c r="D138" s="74">
        <f t="shared" si="8"/>
        <v>2684.1081150606951</v>
      </c>
      <c r="E138" s="74">
        <f t="shared" si="9"/>
        <v>1656.8963008343069</v>
      </c>
      <c r="F138" s="74">
        <f t="shared" si="10"/>
        <v>1027.2118142263882</v>
      </c>
      <c r="G138" s="74">
        <f t="shared" si="11"/>
        <v>396627.90038600721</v>
      </c>
    </row>
    <row r="139" spans="2:7" x14ac:dyDescent="0.25">
      <c r="B139" s="18">
        <f t="shared" ref="B139:B202" si="12">B138+1</f>
        <v>131</v>
      </c>
      <c r="C139" s="74">
        <f t="shared" ref="C139:C202" si="13">G138</f>
        <v>396627.90038600721</v>
      </c>
      <c r="D139" s="74">
        <f t="shared" ref="D139:D202" si="14">D138</f>
        <v>2684.1081150606951</v>
      </c>
      <c r="E139" s="74">
        <f t="shared" ref="E139:E202" si="15">$C$4*C139/12</f>
        <v>1652.6162516083634</v>
      </c>
      <c r="F139" s="74">
        <f t="shared" ref="F139:F202" si="16">D139-E139</f>
        <v>1031.4918634523317</v>
      </c>
      <c r="G139" s="74">
        <f t="shared" ref="G139:G202" si="17">C139-F139</f>
        <v>395596.40852255491</v>
      </c>
    </row>
    <row r="140" spans="2:7" x14ac:dyDescent="0.25">
      <c r="B140" s="18">
        <f t="shared" si="12"/>
        <v>132</v>
      </c>
      <c r="C140" s="74">
        <f t="shared" si="13"/>
        <v>395596.40852255491</v>
      </c>
      <c r="D140" s="74">
        <f t="shared" si="14"/>
        <v>2684.1081150606951</v>
      </c>
      <c r="E140" s="74">
        <f t="shared" si="15"/>
        <v>1648.3183688439788</v>
      </c>
      <c r="F140" s="74">
        <f t="shared" si="16"/>
        <v>1035.7897462167164</v>
      </c>
      <c r="G140" s="74">
        <f t="shared" si="17"/>
        <v>394560.61877633817</v>
      </c>
    </row>
    <row r="141" spans="2:7" x14ac:dyDescent="0.25">
      <c r="B141" s="18">
        <f t="shared" si="12"/>
        <v>133</v>
      </c>
      <c r="C141" s="74">
        <f t="shared" si="13"/>
        <v>394560.61877633817</v>
      </c>
      <c r="D141" s="74">
        <f t="shared" si="14"/>
        <v>2684.1081150606951</v>
      </c>
      <c r="E141" s="74">
        <f t="shared" si="15"/>
        <v>1644.0025782347427</v>
      </c>
      <c r="F141" s="74">
        <f t="shared" si="16"/>
        <v>1040.1055368259524</v>
      </c>
      <c r="G141" s="74">
        <f t="shared" si="17"/>
        <v>393520.51323951222</v>
      </c>
    </row>
    <row r="142" spans="2:7" x14ac:dyDescent="0.25">
      <c r="B142" s="18">
        <f t="shared" si="12"/>
        <v>134</v>
      </c>
      <c r="C142" s="74">
        <f t="shared" si="13"/>
        <v>393520.51323951222</v>
      </c>
      <c r="D142" s="74">
        <f t="shared" si="14"/>
        <v>2684.1081150606951</v>
      </c>
      <c r="E142" s="74">
        <f t="shared" si="15"/>
        <v>1639.6688051646343</v>
      </c>
      <c r="F142" s="74">
        <f t="shared" si="16"/>
        <v>1044.4393098960609</v>
      </c>
      <c r="G142" s="74">
        <f t="shared" si="17"/>
        <v>392476.07392961613</v>
      </c>
    </row>
    <row r="143" spans="2:7" x14ac:dyDescent="0.25">
      <c r="B143" s="18">
        <f t="shared" si="12"/>
        <v>135</v>
      </c>
      <c r="C143" s="74">
        <f t="shared" si="13"/>
        <v>392476.07392961613</v>
      </c>
      <c r="D143" s="74">
        <f t="shared" si="14"/>
        <v>2684.1081150606951</v>
      </c>
      <c r="E143" s="74">
        <f t="shared" si="15"/>
        <v>1635.3169747067341</v>
      </c>
      <c r="F143" s="74">
        <f t="shared" si="16"/>
        <v>1048.7911403539611</v>
      </c>
      <c r="G143" s="74">
        <f t="shared" si="17"/>
        <v>391427.28278926219</v>
      </c>
    </row>
    <row r="144" spans="2:7" x14ac:dyDescent="0.25">
      <c r="B144" s="18">
        <f t="shared" si="12"/>
        <v>136</v>
      </c>
      <c r="C144" s="74">
        <f t="shared" si="13"/>
        <v>391427.28278926219</v>
      </c>
      <c r="D144" s="74">
        <f t="shared" si="14"/>
        <v>2684.1081150606951</v>
      </c>
      <c r="E144" s="74">
        <f t="shared" si="15"/>
        <v>1630.9470116219256</v>
      </c>
      <c r="F144" s="74">
        <f t="shared" si="16"/>
        <v>1053.1611034387695</v>
      </c>
      <c r="G144" s="74">
        <f t="shared" si="17"/>
        <v>390374.12168582343</v>
      </c>
    </row>
    <row r="145" spans="2:7" x14ac:dyDescent="0.25">
      <c r="B145" s="18">
        <f t="shared" si="12"/>
        <v>137</v>
      </c>
      <c r="C145" s="74">
        <f t="shared" si="13"/>
        <v>390374.12168582343</v>
      </c>
      <c r="D145" s="74">
        <f t="shared" si="14"/>
        <v>2684.1081150606951</v>
      </c>
      <c r="E145" s="74">
        <f t="shared" si="15"/>
        <v>1626.5588403575975</v>
      </c>
      <c r="F145" s="74">
        <f t="shared" si="16"/>
        <v>1057.5492747030976</v>
      </c>
      <c r="G145" s="74">
        <f t="shared" si="17"/>
        <v>389316.57241112035</v>
      </c>
    </row>
    <row r="146" spans="2:7" x14ac:dyDescent="0.25">
      <c r="B146" s="18">
        <f t="shared" si="12"/>
        <v>138</v>
      </c>
      <c r="C146" s="74">
        <f t="shared" si="13"/>
        <v>389316.57241112035</v>
      </c>
      <c r="D146" s="74">
        <f t="shared" si="14"/>
        <v>2684.1081150606951</v>
      </c>
      <c r="E146" s="74">
        <f t="shared" si="15"/>
        <v>1622.1523850463348</v>
      </c>
      <c r="F146" s="74">
        <f t="shared" si="16"/>
        <v>1061.9557300143604</v>
      </c>
      <c r="G146" s="74">
        <f t="shared" si="17"/>
        <v>388254.61668110598</v>
      </c>
    </row>
    <row r="147" spans="2:7" x14ac:dyDescent="0.25">
      <c r="B147" s="18">
        <f t="shared" si="12"/>
        <v>139</v>
      </c>
      <c r="C147" s="74">
        <f t="shared" si="13"/>
        <v>388254.61668110598</v>
      </c>
      <c r="D147" s="74">
        <f t="shared" si="14"/>
        <v>2684.1081150606951</v>
      </c>
      <c r="E147" s="74">
        <f t="shared" si="15"/>
        <v>1617.7275695046083</v>
      </c>
      <c r="F147" s="74">
        <f t="shared" si="16"/>
        <v>1066.3805455560869</v>
      </c>
      <c r="G147" s="74">
        <f t="shared" si="17"/>
        <v>387188.2361355499</v>
      </c>
    </row>
    <row r="148" spans="2:7" x14ac:dyDescent="0.25">
      <c r="B148" s="18">
        <f t="shared" si="12"/>
        <v>140</v>
      </c>
      <c r="C148" s="74">
        <f t="shared" si="13"/>
        <v>387188.2361355499</v>
      </c>
      <c r="D148" s="74">
        <f t="shared" si="14"/>
        <v>2684.1081150606951</v>
      </c>
      <c r="E148" s="74">
        <f t="shared" si="15"/>
        <v>1613.2843172314579</v>
      </c>
      <c r="F148" s="74">
        <f t="shared" si="16"/>
        <v>1070.8237978292373</v>
      </c>
      <c r="G148" s="74">
        <f t="shared" si="17"/>
        <v>386117.41233772069</v>
      </c>
    </row>
    <row r="149" spans="2:7" x14ac:dyDescent="0.25">
      <c r="B149" s="18">
        <f t="shared" si="12"/>
        <v>141</v>
      </c>
      <c r="C149" s="74">
        <f t="shared" si="13"/>
        <v>386117.41233772069</v>
      </c>
      <c r="D149" s="74">
        <f t="shared" si="14"/>
        <v>2684.1081150606951</v>
      </c>
      <c r="E149" s="74">
        <f t="shared" si="15"/>
        <v>1608.8225514071694</v>
      </c>
      <c r="F149" s="74">
        <f t="shared" si="16"/>
        <v>1075.2855636535257</v>
      </c>
      <c r="G149" s="74">
        <f t="shared" si="17"/>
        <v>385042.12677406718</v>
      </c>
    </row>
    <row r="150" spans="2:7" x14ac:dyDescent="0.25">
      <c r="B150" s="18">
        <f t="shared" si="12"/>
        <v>142</v>
      </c>
      <c r="C150" s="74">
        <f t="shared" si="13"/>
        <v>385042.12677406718</v>
      </c>
      <c r="D150" s="74">
        <f t="shared" si="14"/>
        <v>2684.1081150606951</v>
      </c>
      <c r="E150" s="74">
        <f t="shared" si="15"/>
        <v>1604.3421948919467</v>
      </c>
      <c r="F150" s="74">
        <f t="shared" si="16"/>
        <v>1079.7659201687484</v>
      </c>
      <c r="G150" s="74">
        <f t="shared" si="17"/>
        <v>383962.36085389846</v>
      </c>
    </row>
    <row r="151" spans="2:7" x14ac:dyDescent="0.25">
      <c r="B151" s="18">
        <f t="shared" si="12"/>
        <v>143</v>
      </c>
      <c r="C151" s="74">
        <f t="shared" si="13"/>
        <v>383962.36085389846</v>
      </c>
      <c r="D151" s="74">
        <f t="shared" si="14"/>
        <v>2684.1081150606951</v>
      </c>
      <c r="E151" s="74">
        <f t="shared" si="15"/>
        <v>1599.8431702245771</v>
      </c>
      <c r="F151" s="74">
        <f t="shared" si="16"/>
        <v>1084.264944836118</v>
      </c>
      <c r="G151" s="74">
        <f t="shared" si="17"/>
        <v>382878.09590906237</v>
      </c>
    </row>
    <row r="152" spans="2:7" x14ac:dyDescent="0.25">
      <c r="B152" s="18">
        <f t="shared" si="12"/>
        <v>144</v>
      </c>
      <c r="C152" s="74">
        <f t="shared" si="13"/>
        <v>382878.09590906237</v>
      </c>
      <c r="D152" s="74">
        <f t="shared" si="14"/>
        <v>2684.1081150606951</v>
      </c>
      <c r="E152" s="74">
        <f t="shared" si="15"/>
        <v>1595.3253996210933</v>
      </c>
      <c r="F152" s="74">
        <f t="shared" si="16"/>
        <v>1088.7827154396018</v>
      </c>
      <c r="G152" s="74">
        <f t="shared" si="17"/>
        <v>381789.31319362274</v>
      </c>
    </row>
    <row r="153" spans="2:7" x14ac:dyDescent="0.25">
      <c r="B153" s="18">
        <f t="shared" si="12"/>
        <v>145</v>
      </c>
      <c r="C153" s="74">
        <f t="shared" si="13"/>
        <v>381789.31319362274</v>
      </c>
      <c r="D153" s="74">
        <f t="shared" si="14"/>
        <v>2684.1081150606951</v>
      </c>
      <c r="E153" s="74">
        <f t="shared" si="15"/>
        <v>1590.7888049734281</v>
      </c>
      <c r="F153" s="74">
        <f t="shared" si="16"/>
        <v>1093.319310087267</v>
      </c>
      <c r="G153" s="74">
        <f t="shared" si="17"/>
        <v>380695.9938835355</v>
      </c>
    </row>
    <row r="154" spans="2:7" x14ac:dyDescent="0.25">
      <c r="B154" s="18">
        <f t="shared" si="12"/>
        <v>146</v>
      </c>
      <c r="C154" s="74">
        <f t="shared" si="13"/>
        <v>380695.9938835355</v>
      </c>
      <c r="D154" s="74">
        <f t="shared" si="14"/>
        <v>2684.1081150606951</v>
      </c>
      <c r="E154" s="74">
        <f t="shared" si="15"/>
        <v>1586.2333078480644</v>
      </c>
      <c r="F154" s="74">
        <f t="shared" si="16"/>
        <v>1097.8748072126307</v>
      </c>
      <c r="G154" s="74">
        <f t="shared" si="17"/>
        <v>379598.11907632288</v>
      </c>
    </row>
    <row r="155" spans="2:7" x14ac:dyDescent="0.25">
      <c r="B155" s="18">
        <f t="shared" si="12"/>
        <v>147</v>
      </c>
      <c r="C155" s="74">
        <f t="shared" si="13"/>
        <v>379598.11907632288</v>
      </c>
      <c r="D155" s="74">
        <f t="shared" si="14"/>
        <v>2684.1081150606951</v>
      </c>
      <c r="E155" s="74">
        <f t="shared" si="15"/>
        <v>1581.6588294846788</v>
      </c>
      <c r="F155" s="74">
        <f t="shared" si="16"/>
        <v>1102.4492855760163</v>
      </c>
      <c r="G155" s="74">
        <f t="shared" si="17"/>
        <v>378495.66979074688</v>
      </c>
    </row>
    <row r="156" spans="2:7" x14ac:dyDescent="0.25">
      <c r="B156" s="18">
        <f t="shared" si="12"/>
        <v>148</v>
      </c>
      <c r="C156" s="74">
        <f t="shared" si="13"/>
        <v>378495.66979074688</v>
      </c>
      <c r="D156" s="74">
        <f t="shared" si="14"/>
        <v>2684.1081150606951</v>
      </c>
      <c r="E156" s="74">
        <f t="shared" si="15"/>
        <v>1577.0652907947788</v>
      </c>
      <c r="F156" s="74">
        <f t="shared" si="16"/>
        <v>1107.0428242659164</v>
      </c>
      <c r="G156" s="74">
        <f t="shared" si="17"/>
        <v>377388.62696648098</v>
      </c>
    </row>
    <row r="157" spans="2:7" x14ac:dyDescent="0.25">
      <c r="B157" s="18">
        <f t="shared" si="12"/>
        <v>149</v>
      </c>
      <c r="C157" s="74">
        <f t="shared" si="13"/>
        <v>377388.62696648098</v>
      </c>
      <c r="D157" s="74">
        <f t="shared" si="14"/>
        <v>2684.1081150606951</v>
      </c>
      <c r="E157" s="74">
        <f t="shared" si="15"/>
        <v>1572.4526123603375</v>
      </c>
      <c r="F157" s="74">
        <f t="shared" si="16"/>
        <v>1111.6555027003576</v>
      </c>
      <c r="G157" s="74">
        <f t="shared" si="17"/>
        <v>376276.97146378062</v>
      </c>
    </row>
    <row r="158" spans="2:7" x14ac:dyDescent="0.25">
      <c r="B158" s="18">
        <f t="shared" si="12"/>
        <v>150</v>
      </c>
      <c r="C158" s="74">
        <f t="shared" si="13"/>
        <v>376276.97146378062</v>
      </c>
      <c r="D158" s="74">
        <f t="shared" si="14"/>
        <v>2684.1081150606951</v>
      </c>
      <c r="E158" s="74">
        <f t="shared" si="15"/>
        <v>1567.8207144324194</v>
      </c>
      <c r="F158" s="74">
        <f t="shared" si="16"/>
        <v>1116.2874006282757</v>
      </c>
      <c r="G158" s="74">
        <f t="shared" si="17"/>
        <v>375160.68406315235</v>
      </c>
    </row>
    <row r="159" spans="2:7" x14ac:dyDescent="0.25">
      <c r="B159" s="18">
        <f t="shared" si="12"/>
        <v>151</v>
      </c>
      <c r="C159" s="74">
        <f t="shared" si="13"/>
        <v>375160.68406315235</v>
      </c>
      <c r="D159" s="74">
        <f t="shared" si="14"/>
        <v>2684.1081150606951</v>
      </c>
      <c r="E159" s="74">
        <f t="shared" si="15"/>
        <v>1563.1695169298016</v>
      </c>
      <c r="F159" s="74">
        <f t="shared" si="16"/>
        <v>1120.9385981308935</v>
      </c>
      <c r="G159" s="74">
        <f t="shared" si="17"/>
        <v>374039.74546502146</v>
      </c>
    </row>
    <row r="160" spans="2:7" x14ac:dyDescent="0.25">
      <c r="B160" s="18">
        <f t="shared" si="12"/>
        <v>152</v>
      </c>
      <c r="C160" s="74">
        <f t="shared" si="13"/>
        <v>374039.74546502146</v>
      </c>
      <c r="D160" s="74">
        <f t="shared" si="14"/>
        <v>2684.1081150606951</v>
      </c>
      <c r="E160" s="74">
        <f t="shared" si="15"/>
        <v>1558.4989394375896</v>
      </c>
      <c r="F160" s="74">
        <f t="shared" si="16"/>
        <v>1125.6091756231056</v>
      </c>
      <c r="G160" s="74">
        <f t="shared" si="17"/>
        <v>372914.13628939836</v>
      </c>
    </row>
    <row r="161" spans="2:7" x14ac:dyDescent="0.25">
      <c r="B161" s="18">
        <f t="shared" si="12"/>
        <v>153</v>
      </c>
      <c r="C161" s="74">
        <f t="shared" si="13"/>
        <v>372914.13628939836</v>
      </c>
      <c r="D161" s="74">
        <f t="shared" si="14"/>
        <v>2684.1081150606951</v>
      </c>
      <c r="E161" s="74">
        <f t="shared" si="15"/>
        <v>1553.8089012058265</v>
      </c>
      <c r="F161" s="74">
        <f t="shared" si="16"/>
        <v>1130.2992138548686</v>
      </c>
      <c r="G161" s="74">
        <f t="shared" si="17"/>
        <v>371783.83707554347</v>
      </c>
    </row>
    <row r="162" spans="2:7" x14ac:dyDescent="0.25">
      <c r="B162" s="18">
        <f t="shared" si="12"/>
        <v>154</v>
      </c>
      <c r="C162" s="74">
        <f t="shared" si="13"/>
        <v>371783.83707554347</v>
      </c>
      <c r="D162" s="74">
        <f t="shared" si="14"/>
        <v>2684.1081150606951</v>
      </c>
      <c r="E162" s="74">
        <f t="shared" si="15"/>
        <v>1549.0993211480979</v>
      </c>
      <c r="F162" s="74">
        <f t="shared" si="16"/>
        <v>1135.0087939125972</v>
      </c>
      <c r="G162" s="74">
        <f t="shared" si="17"/>
        <v>370648.82828163088</v>
      </c>
    </row>
    <row r="163" spans="2:7" x14ac:dyDescent="0.25">
      <c r="B163" s="18">
        <f t="shared" si="12"/>
        <v>155</v>
      </c>
      <c r="C163" s="74">
        <f t="shared" si="13"/>
        <v>370648.82828163088</v>
      </c>
      <c r="D163" s="74">
        <f t="shared" si="14"/>
        <v>2684.1081150606951</v>
      </c>
      <c r="E163" s="74">
        <f t="shared" si="15"/>
        <v>1544.3701178401288</v>
      </c>
      <c r="F163" s="74">
        <f t="shared" si="16"/>
        <v>1139.7379972205663</v>
      </c>
      <c r="G163" s="74">
        <f t="shared" si="17"/>
        <v>369509.09028441034</v>
      </c>
    </row>
    <row r="164" spans="2:7" x14ac:dyDescent="0.25">
      <c r="B164" s="18">
        <f t="shared" si="12"/>
        <v>156</v>
      </c>
      <c r="C164" s="74">
        <f t="shared" si="13"/>
        <v>369509.09028441034</v>
      </c>
      <c r="D164" s="74">
        <f t="shared" si="14"/>
        <v>2684.1081150606951</v>
      </c>
      <c r="E164" s="74">
        <f t="shared" si="15"/>
        <v>1539.6212095183764</v>
      </c>
      <c r="F164" s="74">
        <f t="shared" si="16"/>
        <v>1144.4869055423187</v>
      </c>
      <c r="G164" s="74">
        <f t="shared" si="17"/>
        <v>368364.60337886802</v>
      </c>
    </row>
    <row r="165" spans="2:7" x14ac:dyDescent="0.25">
      <c r="B165" s="18">
        <f t="shared" si="12"/>
        <v>157</v>
      </c>
      <c r="C165" s="74">
        <f t="shared" si="13"/>
        <v>368364.60337886802</v>
      </c>
      <c r="D165" s="74">
        <f t="shared" si="14"/>
        <v>2684.1081150606951</v>
      </c>
      <c r="E165" s="74">
        <f t="shared" si="15"/>
        <v>1534.8525140786169</v>
      </c>
      <c r="F165" s="74">
        <f t="shared" si="16"/>
        <v>1149.2556009820782</v>
      </c>
      <c r="G165" s="74">
        <f t="shared" si="17"/>
        <v>367215.34777788597</v>
      </c>
    </row>
    <row r="166" spans="2:7" x14ac:dyDescent="0.25">
      <c r="B166" s="18">
        <f t="shared" si="12"/>
        <v>158</v>
      </c>
      <c r="C166" s="74">
        <f t="shared" si="13"/>
        <v>367215.34777788597</v>
      </c>
      <c r="D166" s="74">
        <f t="shared" si="14"/>
        <v>2684.1081150606951</v>
      </c>
      <c r="E166" s="74">
        <f t="shared" si="15"/>
        <v>1530.063949074525</v>
      </c>
      <c r="F166" s="74">
        <f t="shared" si="16"/>
        <v>1154.0441659861701</v>
      </c>
      <c r="G166" s="74">
        <f t="shared" si="17"/>
        <v>366061.30361189978</v>
      </c>
    </row>
    <row r="167" spans="2:7" x14ac:dyDescent="0.25">
      <c r="B167" s="18">
        <f t="shared" si="12"/>
        <v>159</v>
      </c>
      <c r="C167" s="74">
        <f t="shared" si="13"/>
        <v>366061.30361189978</v>
      </c>
      <c r="D167" s="74">
        <f t="shared" si="14"/>
        <v>2684.1081150606951</v>
      </c>
      <c r="E167" s="74">
        <f t="shared" si="15"/>
        <v>1525.2554317162492</v>
      </c>
      <c r="F167" s="74">
        <f t="shared" si="16"/>
        <v>1158.8526833444459</v>
      </c>
      <c r="G167" s="74">
        <f t="shared" si="17"/>
        <v>364902.45092855534</v>
      </c>
    </row>
    <row r="168" spans="2:7" x14ac:dyDescent="0.25">
      <c r="B168" s="18">
        <f t="shared" si="12"/>
        <v>160</v>
      </c>
      <c r="C168" s="74">
        <f t="shared" si="13"/>
        <v>364902.45092855534</v>
      </c>
      <c r="D168" s="74">
        <f t="shared" si="14"/>
        <v>2684.1081150606951</v>
      </c>
      <c r="E168" s="74">
        <f t="shared" si="15"/>
        <v>1520.4268788689806</v>
      </c>
      <c r="F168" s="74">
        <f t="shared" si="16"/>
        <v>1163.6812361917146</v>
      </c>
      <c r="G168" s="74">
        <f t="shared" si="17"/>
        <v>363738.76969236362</v>
      </c>
    </row>
    <row r="169" spans="2:7" x14ac:dyDescent="0.25">
      <c r="B169" s="18">
        <f t="shared" si="12"/>
        <v>161</v>
      </c>
      <c r="C169" s="74">
        <f t="shared" si="13"/>
        <v>363738.76969236362</v>
      </c>
      <c r="D169" s="74">
        <f t="shared" si="14"/>
        <v>2684.1081150606951</v>
      </c>
      <c r="E169" s="74">
        <f t="shared" si="15"/>
        <v>1515.5782070515152</v>
      </c>
      <c r="F169" s="74">
        <f t="shared" si="16"/>
        <v>1168.52990800918</v>
      </c>
      <c r="G169" s="74">
        <f t="shared" si="17"/>
        <v>362570.23978435446</v>
      </c>
    </row>
    <row r="170" spans="2:7" x14ac:dyDescent="0.25">
      <c r="B170" s="18">
        <f t="shared" si="12"/>
        <v>162</v>
      </c>
      <c r="C170" s="74">
        <f t="shared" si="13"/>
        <v>362570.23978435446</v>
      </c>
      <c r="D170" s="74">
        <f t="shared" si="14"/>
        <v>2684.1081150606951</v>
      </c>
      <c r="E170" s="74">
        <f t="shared" si="15"/>
        <v>1510.7093324348104</v>
      </c>
      <c r="F170" s="74">
        <f t="shared" si="16"/>
        <v>1173.3987826258847</v>
      </c>
      <c r="G170" s="74">
        <f t="shared" si="17"/>
        <v>361396.84100172855</v>
      </c>
    </row>
    <row r="171" spans="2:7" x14ac:dyDescent="0.25">
      <c r="B171" s="18">
        <f t="shared" si="12"/>
        <v>163</v>
      </c>
      <c r="C171" s="74">
        <f t="shared" si="13"/>
        <v>361396.84100172855</v>
      </c>
      <c r="D171" s="74">
        <f t="shared" si="14"/>
        <v>2684.1081150606951</v>
      </c>
      <c r="E171" s="74">
        <f t="shared" si="15"/>
        <v>1505.8201708405356</v>
      </c>
      <c r="F171" s="74">
        <f t="shared" si="16"/>
        <v>1178.2879442201595</v>
      </c>
      <c r="G171" s="74">
        <f t="shared" si="17"/>
        <v>360218.55305750837</v>
      </c>
    </row>
    <row r="172" spans="2:7" x14ac:dyDescent="0.25">
      <c r="B172" s="18">
        <f t="shared" si="12"/>
        <v>164</v>
      </c>
      <c r="C172" s="74">
        <f t="shared" si="13"/>
        <v>360218.55305750837</v>
      </c>
      <c r="D172" s="74">
        <f t="shared" si="14"/>
        <v>2684.1081150606951</v>
      </c>
      <c r="E172" s="74">
        <f t="shared" si="15"/>
        <v>1500.9106377396183</v>
      </c>
      <c r="F172" s="74">
        <f t="shared" si="16"/>
        <v>1183.1974773210768</v>
      </c>
      <c r="G172" s="74">
        <f t="shared" si="17"/>
        <v>359035.35558018729</v>
      </c>
    </row>
    <row r="173" spans="2:7" x14ac:dyDescent="0.25">
      <c r="B173" s="18">
        <f t="shared" si="12"/>
        <v>165</v>
      </c>
      <c r="C173" s="74">
        <f t="shared" si="13"/>
        <v>359035.35558018729</v>
      </c>
      <c r="D173" s="74">
        <f t="shared" si="14"/>
        <v>2684.1081150606951</v>
      </c>
      <c r="E173" s="74">
        <f t="shared" si="15"/>
        <v>1495.9806482507804</v>
      </c>
      <c r="F173" s="74">
        <f t="shared" si="16"/>
        <v>1188.1274668099147</v>
      </c>
      <c r="G173" s="74">
        <f t="shared" si="17"/>
        <v>357847.22811337735</v>
      </c>
    </row>
    <row r="174" spans="2:7" x14ac:dyDescent="0.25">
      <c r="B174" s="18">
        <f t="shared" si="12"/>
        <v>166</v>
      </c>
      <c r="C174" s="74">
        <f t="shared" si="13"/>
        <v>357847.22811337735</v>
      </c>
      <c r="D174" s="74">
        <f t="shared" si="14"/>
        <v>2684.1081150606951</v>
      </c>
      <c r="E174" s="74">
        <f t="shared" si="15"/>
        <v>1491.0301171390722</v>
      </c>
      <c r="F174" s="74">
        <f t="shared" si="16"/>
        <v>1193.0779979216229</v>
      </c>
      <c r="G174" s="74">
        <f t="shared" si="17"/>
        <v>356654.15011545573</v>
      </c>
    </row>
    <row r="175" spans="2:7" x14ac:dyDescent="0.25">
      <c r="B175" s="18">
        <f t="shared" si="12"/>
        <v>167</v>
      </c>
      <c r="C175" s="74">
        <f t="shared" si="13"/>
        <v>356654.15011545573</v>
      </c>
      <c r="D175" s="74">
        <f t="shared" si="14"/>
        <v>2684.1081150606951</v>
      </c>
      <c r="E175" s="74">
        <f t="shared" si="15"/>
        <v>1486.0589588143991</v>
      </c>
      <c r="F175" s="74">
        <f t="shared" si="16"/>
        <v>1198.049156246296</v>
      </c>
      <c r="G175" s="74">
        <f t="shared" si="17"/>
        <v>355456.10095920943</v>
      </c>
    </row>
    <row r="176" spans="2:7" x14ac:dyDescent="0.25">
      <c r="B176" s="18">
        <f t="shared" si="12"/>
        <v>168</v>
      </c>
      <c r="C176" s="74">
        <f t="shared" si="13"/>
        <v>355456.10095920943</v>
      </c>
      <c r="D176" s="74">
        <f t="shared" si="14"/>
        <v>2684.1081150606951</v>
      </c>
      <c r="E176" s="74">
        <f t="shared" si="15"/>
        <v>1481.0670873300394</v>
      </c>
      <c r="F176" s="74">
        <f t="shared" si="16"/>
        <v>1203.0410277306557</v>
      </c>
      <c r="G176" s="74">
        <f t="shared" si="17"/>
        <v>354253.05993147875</v>
      </c>
    </row>
    <row r="177" spans="2:7" x14ac:dyDescent="0.25">
      <c r="B177" s="18">
        <f t="shared" si="12"/>
        <v>169</v>
      </c>
      <c r="C177" s="74">
        <f t="shared" si="13"/>
        <v>354253.05993147875</v>
      </c>
      <c r="D177" s="74">
        <f t="shared" si="14"/>
        <v>2684.1081150606951</v>
      </c>
      <c r="E177" s="74">
        <f t="shared" si="15"/>
        <v>1476.0544163811617</v>
      </c>
      <c r="F177" s="74">
        <f t="shared" si="16"/>
        <v>1208.0536986795335</v>
      </c>
      <c r="G177" s="74">
        <f t="shared" si="17"/>
        <v>353045.00623279921</v>
      </c>
    </row>
    <row r="178" spans="2:7" x14ac:dyDescent="0.25">
      <c r="B178" s="18">
        <f t="shared" si="12"/>
        <v>170</v>
      </c>
      <c r="C178" s="74">
        <f t="shared" si="13"/>
        <v>353045.00623279921</v>
      </c>
      <c r="D178" s="74">
        <f t="shared" si="14"/>
        <v>2684.1081150606951</v>
      </c>
      <c r="E178" s="74">
        <f t="shared" si="15"/>
        <v>1471.0208593033301</v>
      </c>
      <c r="F178" s="74">
        <f t="shared" si="16"/>
        <v>1213.087255757365</v>
      </c>
      <c r="G178" s="74">
        <f t="shared" si="17"/>
        <v>351831.91897704185</v>
      </c>
    </row>
    <row r="179" spans="2:7" x14ac:dyDescent="0.25">
      <c r="B179" s="18">
        <f t="shared" si="12"/>
        <v>171</v>
      </c>
      <c r="C179" s="74">
        <f t="shared" si="13"/>
        <v>351831.91897704185</v>
      </c>
      <c r="D179" s="74">
        <f t="shared" si="14"/>
        <v>2684.1081150606951</v>
      </c>
      <c r="E179" s="74">
        <f t="shared" si="15"/>
        <v>1465.9663290710077</v>
      </c>
      <c r="F179" s="74">
        <f t="shared" si="16"/>
        <v>1218.1417859896874</v>
      </c>
      <c r="G179" s="74">
        <f t="shared" si="17"/>
        <v>350613.77719105216</v>
      </c>
    </row>
    <row r="180" spans="2:7" x14ac:dyDescent="0.25">
      <c r="B180" s="18">
        <f t="shared" si="12"/>
        <v>172</v>
      </c>
      <c r="C180" s="74">
        <f t="shared" si="13"/>
        <v>350613.77719105216</v>
      </c>
      <c r="D180" s="74">
        <f t="shared" si="14"/>
        <v>2684.1081150606951</v>
      </c>
      <c r="E180" s="74">
        <f t="shared" si="15"/>
        <v>1460.8907382960506</v>
      </c>
      <c r="F180" s="74">
        <f t="shared" si="16"/>
        <v>1223.2173767646445</v>
      </c>
      <c r="G180" s="74">
        <f t="shared" si="17"/>
        <v>349390.55981428752</v>
      </c>
    </row>
    <row r="181" spans="2:7" x14ac:dyDescent="0.25">
      <c r="B181" s="18">
        <f t="shared" si="12"/>
        <v>173</v>
      </c>
      <c r="C181" s="74">
        <f t="shared" si="13"/>
        <v>349390.55981428752</v>
      </c>
      <c r="D181" s="74">
        <f t="shared" si="14"/>
        <v>2684.1081150606951</v>
      </c>
      <c r="E181" s="74">
        <f t="shared" si="15"/>
        <v>1455.7939992261981</v>
      </c>
      <c r="F181" s="74">
        <f t="shared" si="16"/>
        <v>1228.314115834497</v>
      </c>
      <c r="G181" s="74">
        <f t="shared" si="17"/>
        <v>348162.24569845304</v>
      </c>
    </row>
    <row r="182" spans="2:7" x14ac:dyDescent="0.25">
      <c r="B182" s="18">
        <f t="shared" si="12"/>
        <v>174</v>
      </c>
      <c r="C182" s="74">
        <f t="shared" si="13"/>
        <v>348162.24569845304</v>
      </c>
      <c r="D182" s="74">
        <f t="shared" si="14"/>
        <v>2684.1081150606951</v>
      </c>
      <c r="E182" s="74">
        <f t="shared" si="15"/>
        <v>1450.6760237435544</v>
      </c>
      <c r="F182" s="74">
        <f t="shared" si="16"/>
        <v>1233.4320913171407</v>
      </c>
      <c r="G182" s="74">
        <f t="shared" si="17"/>
        <v>346928.8136071359</v>
      </c>
    </row>
    <row r="183" spans="2:7" x14ac:dyDescent="0.25">
      <c r="B183" s="18">
        <f t="shared" si="12"/>
        <v>175</v>
      </c>
      <c r="C183" s="74">
        <f t="shared" si="13"/>
        <v>346928.8136071359</v>
      </c>
      <c r="D183" s="74">
        <f t="shared" si="14"/>
        <v>2684.1081150606951</v>
      </c>
      <c r="E183" s="74">
        <f t="shared" si="15"/>
        <v>1445.5367233630661</v>
      </c>
      <c r="F183" s="74">
        <f t="shared" si="16"/>
        <v>1238.571391697629</v>
      </c>
      <c r="G183" s="74">
        <f t="shared" si="17"/>
        <v>345690.24221543828</v>
      </c>
    </row>
    <row r="184" spans="2:7" x14ac:dyDescent="0.25">
      <c r="B184" s="18">
        <f t="shared" si="12"/>
        <v>176</v>
      </c>
      <c r="C184" s="74">
        <f t="shared" si="13"/>
        <v>345690.24221543828</v>
      </c>
      <c r="D184" s="74">
        <f t="shared" si="14"/>
        <v>2684.1081150606951</v>
      </c>
      <c r="E184" s="74">
        <f t="shared" si="15"/>
        <v>1440.3760092309928</v>
      </c>
      <c r="F184" s="74">
        <f t="shared" si="16"/>
        <v>1243.7321058297023</v>
      </c>
      <c r="G184" s="74">
        <f t="shared" si="17"/>
        <v>344446.51010960859</v>
      </c>
    </row>
    <row r="185" spans="2:7" x14ac:dyDescent="0.25">
      <c r="B185" s="18">
        <f t="shared" si="12"/>
        <v>177</v>
      </c>
      <c r="C185" s="74">
        <f t="shared" si="13"/>
        <v>344446.51010960859</v>
      </c>
      <c r="D185" s="74">
        <f t="shared" si="14"/>
        <v>2684.1081150606951</v>
      </c>
      <c r="E185" s="74">
        <f t="shared" si="15"/>
        <v>1435.1937921233691</v>
      </c>
      <c r="F185" s="74">
        <f t="shared" si="16"/>
        <v>1248.914322937326</v>
      </c>
      <c r="G185" s="74">
        <f t="shared" si="17"/>
        <v>343197.59578667127</v>
      </c>
    </row>
    <row r="186" spans="2:7" x14ac:dyDescent="0.25">
      <c r="B186" s="18">
        <f t="shared" si="12"/>
        <v>178</v>
      </c>
      <c r="C186" s="74">
        <f t="shared" si="13"/>
        <v>343197.59578667127</v>
      </c>
      <c r="D186" s="74">
        <f t="shared" si="14"/>
        <v>2684.1081150606951</v>
      </c>
      <c r="E186" s="74">
        <f t="shared" si="15"/>
        <v>1429.9899824444637</v>
      </c>
      <c r="F186" s="74">
        <f t="shared" si="16"/>
        <v>1254.1181326162314</v>
      </c>
      <c r="G186" s="74">
        <f t="shared" si="17"/>
        <v>341943.47765405505</v>
      </c>
    </row>
    <row r="187" spans="2:7" x14ac:dyDescent="0.25">
      <c r="B187" s="18">
        <f t="shared" si="12"/>
        <v>179</v>
      </c>
      <c r="C187" s="74">
        <f t="shared" si="13"/>
        <v>341943.47765405505</v>
      </c>
      <c r="D187" s="74">
        <f t="shared" si="14"/>
        <v>2684.1081150606951</v>
      </c>
      <c r="E187" s="74">
        <f t="shared" si="15"/>
        <v>1424.7644902252296</v>
      </c>
      <c r="F187" s="74">
        <f t="shared" si="16"/>
        <v>1259.3436248354656</v>
      </c>
      <c r="G187" s="74">
        <f t="shared" si="17"/>
        <v>340684.13402921957</v>
      </c>
    </row>
    <row r="188" spans="2:7" x14ac:dyDescent="0.25">
      <c r="B188" s="18">
        <f t="shared" si="12"/>
        <v>180</v>
      </c>
      <c r="C188" s="74">
        <f t="shared" si="13"/>
        <v>340684.13402921957</v>
      </c>
      <c r="D188" s="74">
        <f t="shared" si="14"/>
        <v>2684.1081150606951</v>
      </c>
      <c r="E188" s="74">
        <f t="shared" si="15"/>
        <v>1419.5172251217482</v>
      </c>
      <c r="F188" s="74">
        <f t="shared" si="16"/>
        <v>1264.5908899389469</v>
      </c>
      <c r="G188" s="74">
        <f t="shared" si="17"/>
        <v>339419.54313928063</v>
      </c>
    </row>
    <row r="189" spans="2:7" x14ac:dyDescent="0.25">
      <c r="B189" s="18">
        <f t="shared" si="12"/>
        <v>181</v>
      </c>
      <c r="C189" s="74">
        <f t="shared" si="13"/>
        <v>339419.54313928063</v>
      </c>
      <c r="D189" s="74">
        <f t="shared" si="14"/>
        <v>2684.1081150606951</v>
      </c>
      <c r="E189" s="74">
        <f t="shared" si="15"/>
        <v>1414.2480964136694</v>
      </c>
      <c r="F189" s="74">
        <f t="shared" si="16"/>
        <v>1269.8600186470258</v>
      </c>
      <c r="G189" s="74">
        <f t="shared" si="17"/>
        <v>338149.68312063359</v>
      </c>
    </row>
    <row r="190" spans="2:7" x14ac:dyDescent="0.25">
      <c r="B190" s="18">
        <f t="shared" si="12"/>
        <v>182</v>
      </c>
      <c r="C190" s="74">
        <f t="shared" si="13"/>
        <v>338149.68312063359</v>
      </c>
      <c r="D190" s="74">
        <f t="shared" si="14"/>
        <v>2684.1081150606951</v>
      </c>
      <c r="E190" s="74">
        <f t="shared" si="15"/>
        <v>1408.9570130026402</v>
      </c>
      <c r="F190" s="74">
        <f t="shared" si="16"/>
        <v>1275.1511020580549</v>
      </c>
      <c r="G190" s="74">
        <f t="shared" si="17"/>
        <v>336874.53201857553</v>
      </c>
    </row>
    <row r="191" spans="2:7" x14ac:dyDescent="0.25">
      <c r="B191" s="18">
        <f t="shared" si="12"/>
        <v>183</v>
      </c>
      <c r="C191" s="74">
        <f t="shared" si="13"/>
        <v>336874.53201857553</v>
      </c>
      <c r="D191" s="74">
        <f t="shared" si="14"/>
        <v>2684.1081150606951</v>
      </c>
      <c r="E191" s="74">
        <f t="shared" si="15"/>
        <v>1403.6438834107314</v>
      </c>
      <c r="F191" s="74">
        <f t="shared" si="16"/>
        <v>1280.4642316499637</v>
      </c>
      <c r="G191" s="74">
        <f t="shared" si="17"/>
        <v>335594.06778692559</v>
      </c>
    </row>
    <row r="192" spans="2:7" x14ac:dyDescent="0.25">
      <c r="B192" s="18">
        <f t="shared" si="12"/>
        <v>184</v>
      </c>
      <c r="C192" s="74">
        <f t="shared" si="13"/>
        <v>335594.06778692559</v>
      </c>
      <c r="D192" s="74">
        <f t="shared" si="14"/>
        <v>2684.1081150606951</v>
      </c>
      <c r="E192" s="74">
        <f t="shared" si="15"/>
        <v>1398.3086157788566</v>
      </c>
      <c r="F192" s="74">
        <f t="shared" si="16"/>
        <v>1285.7994992818385</v>
      </c>
      <c r="G192" s="74">
        <f t="shared" si="17"/>
        <v>334308.26828764373</v>
      </c>
    </row>
    <row r="193" spans="2:7" x14ac:dyDescent="0.25">
      <c r="B193" s="18">
        <f t="shared" si="12"/>
        <v>185</v>
      </c>
      <c r="C193" s="74">
        <f t="shared" si="13"/>
        <v>334308.26828764373</v>
      </c>
      <c r="D193" s="74">
        <f t="shared" si="14"/>
        <v>2684.1081150606951</v>
      </c>
      <c r="E193" s="74">
        <f t="shared" si="15"/>
        <v>1392.9511178651821</v>
      </c>
      <c r="F193" s="74">
        <f t="shared" si="16"/>
        <v>1291.156997195513</v>
      </c>
      <c r="G193" s="74">
        <f t="shared" si="17"/>
        <v>333017.11129044823</v>
      </c>
    </row>
    <row r="194" spans="2:7" x14ac:dyDescent="0.25">
      <c r="B194" s="18">
        <f t="shared" si="12"/>
        <v>186</v>
      </c>
      <c r="C194" s="74">
        <f t="shared" si="13"/>
        <v>333017.11129044823</v>
      </c>
      <c r="D194" s="74">
        <f t="shared" si="14"/>
        <v>2684.1081150606951</v>
      </c>
      <c r="E194" s="74">
        <f t="shared" si="15"/>
        <v>1387.5712970435343</v>
      </c>
      <c r="F194" s="74">
        <f t="shared" si="16"/>
        <v>1296.5368180171608</v>
      </c>
      <c r="G194" s="74">
        <f t="shared" si="17"/>
        <v>331720.57447243109</v>
      </c>
    </row>
    <row r="195" spans="2:7" x14ac:dyDescent="0.25">
      <c r="B195" s="18">
        <f t="shared" si="12"/>
        <v>187</v>
      </c>
      <c r="C195" s="74">
        <f t="shared" si="13"/>
        <v>331720.57447243109</v>
      </c>
      <c r="D195" s="74">
        <f t="shared" si="14"/>
        <v>2684.1081150606951</v>
      </c>
      <c r="E195" s="74">
        <f t="shared" si="15"/>
        <v>1382.1690603017962</v>
      </c>
      <c r="F195" s="74">
        <f t="shared" si="16"/>
        <v>1301.9390547588989</v>
      </c>
      <c r="G195" s="74">
        <f t="shared" si="17"/>
        <v>330418.63541767222</v>
      </c>
    </row>
    <row r="196" spans="2:7" x14ac:dyDescent="0.25">
      <c r="B196" s="18">
        <f t="shared" si="12"/>
        <v>188</v>
      </c>
      <c r="C196" s="74">
        <f t="shared" si="13"/>
        <v>330418.63541767222</v>
      </c>
      <c r="D196" s="74">
        <f t="shared" si="14"/>
        <v>2684.1081150606951</v>
      </c>
      <c r="E196" s="74">
        <f t="shared" si="15"/>
        <v>1376.744314240301</v>
      </c>
      <c r="F196" s="74">
        <f t="shared" si="16"/>
        <v>1307.3638008203941</v>
      </c>
      <c r="G196" s="74">
        <f t="shared" si="17"/>
        <v>329111.27161685185</v>
      </c>
    </row>
    <row r="197" spans="2:7" x14ac:dyDescent="0.25">
      <c r="B197" s="18">
        <f t="shared" si="12"/>
        <v>189</v>
      </c>
      <c r="C197" s="74">
        <f t="shared" si="13"/>
        <v>329111.27161685185</v>
      </c>
      <c r="D197" s="74">
        <f t="shared" si="14"/>
        <v>2684.1081150606951</v>
      </c>
      <c r="E197" s="74">
        <f t="shared" si="15"/>
        <v>1371.2969650702162</v>
      </c>
      <c r="F197" s="74">
        <f t="shared" si="16"/>
        <v>1312.811149990479</v>
      </c>
      <c r="G197" s="74">
        <f t="shared" si="17"/>
        <v>327798.46046686138</v>
      </c>
    </row>
    <row r="198" spans="2:7" x14ac:dyDescent="0.25">
      <c r="B198" s="18">
        <f t="shared" si="12"/>
        <v>190</v>
      </c>
      <c r="C198" s="74">
        <f t="shared" si="13"/>
        <v>327798.46046686138</v>
      </c>
      <c r="D198" s="74">
        <f t="shared" si="14"/>
        <v>2684.1081150606951</v>
      </c>
      <c r="E198" s="74">
        <f t="shared" si="15"/>
        <v>1365.8269186119223</v>
      </c>
      <c r="F198" s="74">
        <f t="shared" si="16"/>
        <v>1318.2811964487728</v>
      </c>
      <c r="G198" s="74">
        <f t="shared" si="17"/>
        <v>326480.1792704126</v>
      </c>
    </row>
    <row r="199" spans="2:7" x14ac:dyDescent="0.25">
      <c r="B199" s="18">
        <f t="shared" si="12"/>
        <v>191</v>
      </c>
      <c r="C199" s="74">
        <f t="shared" si="13"/>
        <v>326480.1792704126</v>
      </c>
      <c r="D199" s="74">
        <f t="shared" si="14"/>
        <v>2684.1081150606951</v>
      </c>
      <c r="E199" s="74">
        <f t="shared" si="15"/>
        <v>1360.334080293386</v>
      </c>
      <c r="F199" s="74">
        <f t="shared" si="16"/>
        <v>1323.7740347673091</v>
      </c>
      <c r="G199" s="74">
        <f t="shared" si="17"/>
        <v>325156.4052356453</v>
      </c>
    </row>
    <row r="200" spans="2:7" x14ac:dyDescent="0.25">
      <c r="B200" s="18">
        <f t="shared" si="12"/>
        <v>192</v>
      </c>
      <c r="C200" s="74">
        <f t="shared" si="13"/>
        <v>325156.4052356453</v>
      </c>
      <c r="D200" s="74">
        <f t="shared" si="14"/>
        <v>2684.1081150606951</v>
      </c>
      <c r="E200" s="74">
        <f t="shared" si="15"/>
        <v>1354.8183551485222</v>
      </c>
      <c r="F200" s="74">
        <f t="shared" si="16"/>
        <v>1329.2897599121729</v>
      </c>
      <c r="G200" s="74">
        <f t="shared" si="17"/>
        <v>323827.11547573312</v>
      </c>
    </row>
    <row r="201" spans="2:7" x14ac:dyDescent="0.25">
      <c r="B201" s="18">
        <f t="shared" si="12"/>
        <v>193</v>
      </c>
      <c r="C201" s="74">
        <f t="shared" si="13"/>
        <v>323827.11547573312</v>
      </c>
      <c r="D201" s="74">
        <f t="shared" si="14"/>
        <v>2684.1081150606951</v>
      </c>
      <c r="E201" s="74">
        <f t="shared" si="15"/>
        <v>1349.2796478155549</v>
      </c>
      <c r="F201" s="74">
        <f t="shared" si="16"/>
        <v>1334.8284672451402</v>
      </c>
      <c r="G201" s="74">
        <f t="shared" si="17"/>
        <v>322492.28700848797</v>
      </c>
    </row>
    <row r="202" spans="2:7" x14ac:dyDescent="0.25">
      <c r="B202" s="18">
        <f t="shared" si="12"/>
        <v>194</v>
      </c>
      <c r="C202" s="74">
        <f t="shared" si="13"/>
        <v>322492.28700848797</v>
      </c>
      <c r="D202" s="74">
        <f t="shared" si="14"/>
        <v>2684.1081150606951</v>
      </c>
      <c r="E202" s="74">
        <f t="shared" si="15"/>
        <v>1343.7178625353665</v>
      </c>
      <c r="F202" s="74">
        <f t="shared" si="16"/>
        <v>1340.3902525253286</v>
      </c>
      <c r="G202" s="74">
        <f t="shared" si="17"/>
        <v>321151.89675596263</v>
      </c>
    </row>
    <row r="203" spans="2:7" x14ac:dyDescent="0.25">
      <c r="B203" s="18">
        <f t="shared" ref="B203:B266" si="18">B202+1</f>
        <v>195</v>
      </c>
      <c r="C203" s="74">
        <f t="shared" ref="C203:C266" si="19">G202</f>
        <v>321151.89675596263</v>
      </c>
      <c r="D203" s="74">
        <f t="shared" ref="D203:D266" si="20">D202</f>
        <v>2684.1081150606951</v>
      </c>
      <c r="E203" s="74">
        <f t="shared" ref="E203:E266" si="21">$C$4*C203/12</f>
        <v>1338.1329031498444</v>
      </c>
      <c r="F203" s="74">
        <f t="shared" ref="F203:F266" si="22">D203-E203</f>
        <v>1345.9752119108507</v>
      </c>
      <c r="G203" s="74">
        <f t="shared" ref="G203:G266" si="23">C203-F203</f>
        <v>319805.92154405179</v>
      </c>
    </row>
    <row r="204" spans="2:7" x14ac:dyDescent="0.25">
      <c r="B204" s="18">
        <f t="shared" si="18"/>
        <v>196</v>
      </c>
      <c r="C204" s="74">
        <f t="shared" si="19"/>
        <v>319805.92154405179</v>
      </c>
      <c r="D204" s="74">
        <f t="shared" si="20"/>
        <v>2684.1081150606951</v>
      </c>
      <c r="E204" s="74">
        <f t="shared" si="21"/>
        <v>1332.524673100216</v>
      </c>
      <c r="F204" s="74">
        <f t="shared" si="22"/>
        <v>1351.5834419604791</v>
      </c>
      <c r="G204" s="74">
        <f t="shared" si="23"/>
        <v>318454.33810209134</v>
      </c>
    </row>
    <row r="205" spans="2:7" x14ac:dyDescent="0.25">
      <c r="B205" s="18">
        <f t="shared" si="18"/>
        <v>197</v>
      </c>
      <c r="C205" s="74">
        <f t="shared" si="19"/>
        <v>318454.33810209134</v>
      </c>
      <c r="D205" s="74">
        <f t="shared" si="20"/>
        <v>2684.1081150606951</v>
      </c>
      <c r="E205" s="74">
        <f t="shared" si="21"/>
        <v>1326.8930754253806</v>
      </c>
      <c r="F205" s="74">
        <f t="shared" si="22"/>
        <v>1357.2150396353145</v>
      </c>
      <c r="G205" s="74">
        <f t="shared" si="23"/>
        <v>317097.12306245603</v>
      </c>
    </row>
    <row r="206" spans="2:7" x14ac:dyDescent="0.25">
      <c r="B206" s="18">
        <f t="shared" si="18"/>
        <v>198</v>
      </c>
      <c r="C206" s="74">
        <f t="shared" si="19"/>
        <v>317097.12306245603</v>
      </c>
      <c r="D206" s="74">
        <f t="shared" si="20"/>
        <v>2684.1081150606951</v>
      </c>
      <c r="E206" s="74">
        <f t="shared" si="21"/>
        <v>1321.2380127602335</v>
      </c>
      <c r="F206" s="74">
        <f t="shared" si="22"/>
        <v>1362.8701023004617</v>
      </c>
      <c r="G206" s="74">
        <f t="shared" si="23"/>
        <v>315734.25296015554</v>
      </c>
    </row>
    <row r="207" spans="2:7" x14ac:dyDescent="0.25">
      <c r="B207" s="18">
        <f t="shared" si="18"/>
        <v>199</v>
      </c>
      <c r="C207" s="74">
        <f t="shared" si="19"/>
        <v>315734.25296015554</v>
      </c>
      <c r="D207" s="74">
        <f t="shared" si="20"/>
        <v>2684.1081150606951</v>
      </c>
      <c r="E207" s="74">
        <f t="shared" si="21"/>
        <v>1315.5593873339815</v>
      </c>
      <c r="F207" s="74">
        <f t="shared" si="22"/>
        <v>1368.5487277267137</v>
      </c>
      <c r="G207" s="74">
        <f t="shared" si="23"/>
        <v>314365.7042324288</v>
      </c>
    </row>
    <row r="208" spans="2:7" x14ac:dyDescent="0.25">
      <c r="B208" s="18">
        <f t="shared" si="18"/>
        <v>200</v>
      </c>
      <c r="C208" s="74">
        <f t="shared" si="19"/>
        <v>314365.7042324288</v>
      </c>
      <c r="D208" s="74">
        <f t="shared" si="20"/>
        <v>2684.1081150606951</v>
      </c>
      <c r="E208" s="74">
        <f t="shared" si="21"/>
        <v>1309.8571009684536</v>
      </c>
      <c r="F208" s="74">
        <f t="shared" si="22"/>
        <v>1374.2510140922416</v>
      </c>
      <c r="G208" s="74">
        <f t="shared" si="23"/>
        <v>312991.45321833657</v>
      </c>
    </row>
    <row r="209" spans="2:7" x14ac:dyDescent="0.25">
      <c r="B209" s="18">
        <f t="shared" si="18"/>
        <v>201</v>
      </c>
      <c r="C209" s="74">
        <f t="shared" si="19"/>
        <v>312991.45321833657</v>
      </c>
      <c r="D209" s="74">
        <f t="shared" si="20"/>
        <v>2684.1081150606951</v>
      </c>
      <c r="E209" s="74">
        <f t="shared" si="21"/>
        <v>1304.1310550764024</v>
      </c>
      <c r="F209" s="74">
        <f t="shared" si="22"/>
        <v>1379.9770599842927</v>
      </c>
      <c r="G209" s="74">
        <f t="shared" si="23"/>
        <v>311611.47615835228</v>
      </c>
    </row>
    <row r="210" spans="2:7" x14ac:dyDescent="0.25">
      <c r="B210" s="18">
        <f t="shared" si="18"/>
        <v>202</v>
      </c>
      <c r="C210" s="74">
        <f t="shared" si="19"/>
        <v>311611.47615835228</v>
      </c>
      <c r="D210" s="74">
        <f t="shared" si="20"/>
        <v>2684.1081150606951</v>
      </c>
      <c r="E210" s="74">
        <f t="shared" si="21"/>
        <v>1298.3811506598013</v>
      </c>
      <c r="F210" s="74">
        <f t="shared" si="22"/>
        <v>1385.7269644008938</v>
      </c>
      <c r="G210" s="74">
        <f t="shared" si="23"/>
        <v>310225.74919395137</v>
      </c>
    </row>
    <row r="211" spans="2:7" x14ac:dyDescent="0.25">
      <c r="B211" s="18">
        <f t="shared" si="18"/>
        <v>203</v>
      </c>
      <c r="C211" s="74">
        <f t="shared" si="19"/>
        <v>310225.74919395137</v>
      </c>
      <c r="D211" s="74">
        <f t="shared" si="20"/>
        <v>2684.1081150606951</v>
      </c>
      <c r="E211" s="74">
        <f t="shared" si="21"/>
        <v>1292.6072883081308</v>
      </c>
      <c r="F211" s="74">
        <f t="shared" si="22"/>
        <v>1391.5008267525643</v>
      </c>
      <c r="G211" s="74">
        <f t="shared" si="23"/>
        <v>308834.2483671988</v>
      </c>
    </row>
    <row r="212" spans="2:7" x14ac:dyDescent="0.25">
      <c r="B212" s="18">
        <f t="shared" si="18"/>
        <v>204</v>
      </c>
      <c r="C212" s="74">
        <f t="shared" si="19"/>
        <v>308834.2483671988</v>
      </c>
      <c r="D212" s="74">
        <f t="shared" si="20"/>
        <v>2684.1081150606951</v>
      </c>
      <c r="E212" s="74">
        <f t="shared" si="21"/>
        <v>1286.8093681966618</v>
      </c>
      <c r="F212" s="74">
        <f t="shared" si="22"/>
        <v>1397.2987468640333</v>
      </c>
      <c r="G212" s="74">
        <f t="shared" si="23"/>
        <v>307436.94962033478</v>
      </c>
    </row>
    <row r="213" spans="2:7" x14ac:dyDescent="0.25">
      <c r="B213" s="18">
        <f t="shared" si="18"/>
        <v>205</v>
      </c>
      <c r="C213" s="74">
        <f t="shared" si="19"/>
        <v>307436.94962033478</v>
      </c>
      <c r="D213" s="74">
        <f t="shared" si="20"/>
        <v>2684.1081150606951</v>
      </c>
      <c r="E213" s="74">
        <f t="shared" si="21"/>
        <v>1280.9872900847283</v>
      </c>
      <c r="F213" s="74">
        <f t="shared" si="22"/>
        <v>1403.1208249759668</v>
      </c>
      <c r="G213" s="74">
        <f t="shared" si="23"/>
        <v>306033.82879535883</v>
      </c>
    </row>
    <row r="214" spans="2:7" x14ac:dyDescent="0.25">
      <c r="B214" s="18">
        <f t="shared" si="18"/>
        <v>206</v>
      </c>
      <c r="C214" s="74">
        <f t="shared" si="19"/>
        <v>306033.82879535883</v>
      </c>
      <c r="D214" s="74">
        <f t="shared" si="20"/>
        <v>2684.1081150606951</v>
      </c>
      <c r="E214" s="74">
        <f t="shared" si="21"/>
        <v>1275.1409533139952</v>
      </c>
      <c r="F214" s="74">
        <f t="shared" si="22"/>
        <v>1408.9671617467</v>
      </c>
      <c r="G214" s="74">
        <f t="shared" si="23"/>
        <v>304624.86163361213</v>
      </c>
    </row>
    <row r="215" spans="2:7" x14ac:dyDescent="0.25">
      <c r="B215" s="18">
        <f t="shared" si="18"/>
        <v>207</v>
      </c>
      <c r="C215" s="74">
        <f t="shared" si="19"/>
        <v>304624.86163361213</v>
      </c>
      <c r="D215" s="74">
        <f t="shared" si="20"/>
        <v>2684.1081150606951</v>
      </c>
      <c r="E215" s="74">
        <f t="shared" si="21"/>
        <v>1269.2702568067173</v>
      </c>
      <c r="F215" s="74">
        <f t="shared" si="22"/>
        <v>1414.8378582539779</v>
      </c>
      <c r="G215" s="74">
        <f t="shared" si="23"/>
        <v>303210.02377535816</v>
      </c>
    </row>
    <row r="216" spans="2:7" x14ac:dyDescent="0.25">
      <c r="B216" s="18">
        <f t="shared" si="18"/>
        <v>208</v>
      </c>
      <c r="C216" s="74">
        <f t="shared" si="19"/>
        <v>303210.02377535816</v>
      </c>
      <c r="D216" s="74">
        <f t="shared" si="20"/>
        <v>2684.1081150606951</v>
      </c>
      <c r="E216" s="74">
        <f t="shared" si="21"/>
        <v>1263.3750990639924</v>
      </c>
      <c r="F216" s="74">
        <f t="shared" si="22"/>
        <v>1420.7330159967028</v>
      </c>
      <c r="G216" s="74">
        <f t="shared" si="23"/>
        <v>301789.29075936147</v>
      </c>
    </row>
    <row r="217" spans="2:7" x14ac:dyDescent="0.25">
      <c r="B217" s="18">
        <f t="shared" si="18"/>
        <v>209</v>
      </c>
      <c r="C217" s="74">
        <f t="shared" si="19"/>
        <v>301789.29075936147</v>
      </c>
      <c r="D217" s="74">
        <f t="shared" si="20"/>
        <v>2684.1081150606951</v>
      </c>
      <c r="E217" s="74">
        <f t="shared" si="21"/>
        <v>1257.4553781640061</v>
      </c>
      <c r="F217" s="74">
        <f t="shared" si="22"/>
        <v>1426.652736896689</v>
      </c>
      <c r="G217" s="74">
        <f t="shared" si="23"/>
        <v>300362.63802246476</v>
      </c>
    </row>
    <row r="218" spans="2:7" x14ac:dyDescent="0.25">
      <c r="B218" s="18">
        <f t="shared" si="18"/>
        <v>210</v>
      </c>
      <c r="C218" s="74">
        <f t="shared" si="19"/>
        <v>300362.63802246476</v>
      </c>
      <c r="D218" s="74">
        <f t="shared" si="20"/>
        <v>2684.1081150606951</v>
      </c>
      <c r="E218" s="74">
        <f t="shared" si="21"/>
        <v>1251.5109917602699</v>
      </c>
      <c r="F218" s="74">
        <f t="shared" si="22"/>
        <v>1432.5971233004252</v>
      </c>
      <c r="G218" s="74">
        <f t="shared" si="23"/>
        <v>298930.04089916433</v>
      </c>
    </row>
    <row r="219" spans="2:7" x14ac:dyDescent="0.25">
      <c r="B219" s="18">
        <f t="shared" si="18"/>
        <v>211</v>
      </c>
      <c r="C219" s="74">
        <f t="shared" si="19"/>
        <v>298930.04089916433</v>
      </c>
      <c r="D219" s="74">
        <f t="shared" si="20"/>
        <v>2684.1081150606951</v>
      </c>
      <c r="E219" s="74">
        <f t="shared" si="21"/>
        <v>1245.5418370798513</v>
      </c>
      <c r="F219" s="74">
        <f t="shared" si="22"/>
        <v>1438.5662779808438</v>
      </c>
      <c r="G219" s="74">
        <f t="shared" si="23"/>
        <v>297491.47462118347</v>
      </c>
    </row>
    <row r="220" spans="2:7" x14ac:dyDescent="0.25">
      <c r="B220" s="18">
        <f t="shared" si="18"/>
        <v>212</v>
      </c>
      <c r="C220" s="74">
        <f t="shared" si="19"/>
        <v>297491.47462118347</v>
      </c>
      <c r="D220" s="74">
        <f t="shared" si="20"/>
        <v>2684.1081150606951</v>
      </c>
      <c r="E220" s="74">
        <f t="shared" si="21"/>
        <v>1239.5478109215978</v>
      </c>
      <c r="F220" s="74">
        <f t="shared" si="22"/>
        <v>1444.5603041390973</v>
      </c>
      <c r="G220" s="74">
        <f t="shared" si="23"/>
        <v>296046.91431704437</v>
      </c>
    </row>
    <row r="221" spans="2:7" x14ac:dyDescent="0.25">
      <c r="B221" s="18">
        <f t="shared" si="18"/>
        <v>213</v>
      </c>
      <c r="C221" s="74">
        <f t="shared" si="19"/>
        <v>296046.91431704437</v>
      </c>
      <c r="D221" s="74">
        <f t="shared" si="20"/>
        <v>2684.1081150606951</v>
      </c>
      <c r="E221" s="74">
        <f t="shared" si="21"/>
        <v>1233.5288096543516</v>
      </c>
      <c r="F221" s="74">
        <f t="shared" si="22"/>
        <v>1450.5793054063436</v>
      </c>
      <c r="G221" s="74">
        <f t="shared" si="23"/>
        <v>294596.335011638</v>
      </c>
    </row>
    <row r="222" spans="2:7" x14ac:dyDescent="0.25">
      <c r="B222" s="18">
        <f t="shared" si="18"/>
        <v>214</v>
      </c>
      <c r="C222" s="74">
        <f t="shared" si="19"/>
        <v>294596.335011638</v>
      </c>
      <c r="D222" s="74">
        <f t="shared" si="20"/>
        <v>2684.1081150606951</v>
      </c>
      <c r="E222" s="74">
        <f t="shared" si="21"/>
        <v>1227.4847292151583</v>
      </c>
      <c r="F222" s="74">
        <f t="shared" si="22"/>
        <v>1456.6233858455369</v>
      </c>
      <c r="G222" s="74">
        <f t="shared" si="23"/>
        <v>293139.71162579249</v>
      </c>
    </row>
    <row r="223" spans="2:7" x14ac:dyDescent="0.25">
      <c r="B223" s="18">
        <f t="shared" si="18"/>
        <v>215</v>
      </c>
      <c r="C223" s="74">
        <f t="shared" si="19"/>
        <v>293139.71162579249</v>
      </c>
      <c r="D223" s="74">
        <f t="shared" si="20"/>
        <v>2684.1081150606951</v>
      </c>
      <c r="E223" s="74">
        <f t="shared" si="21"/>
        <v>1221.4154651074689</v>
      </c>
      <c r="F223" s="74">
        <f t="shared" si="22"/>
        <v>1462.6926499532262</v>
      </c>
      <c r="G223" s="74">
        <f t="shared" si="23"/>
        <v>291677.01897583925</v>
      </c>
    </row>
    <row r="224" spans="2:7" x14ac:dyDescent="0.25">
      <c r="B224" s="18">
        <f t="shared" si="18"/>
        <v>216</v>
      </c>
      <c r="C224" s="74">
        <f t="shared" si="19"/>
        <v>291677.01897583925</v>
      </c>
      <c r="D224" s="74">
        <f t="shared" si="20"/>
        <v>2684.1081150606951</v>
      </c>
      <c r="E224" s="74">
        <f t="shared" si="21"/>
        <v>1215.3209123993304</v>
      </c>
      <c r="F224" s="74">
        <f t="shared" si="22"/>
        <v>1468.7872026613647</v>
      </c>
      <c r="G224" s="74">
        <f t="shared" si="23"/>
        <v>290208.23177317786</v>
      </c>
    </row>
    <row r="225" spans="2:7" x14ac:dyDescent="0.25">
      <c r="B225" s="18">
        <f t="shared" si="18"/>
        <v>217</v>
      </c>
      <c r="C225" s="74">
        <f t="shared" si="19"/>
        <v>290208.23177317786</v>
      </c>
      <c r="D225" s="74">
        <f t="shared" si="20"/>
        <v>2684.1081150606951</v>
      </c>
      <c r="E225" s="74">
        <f t="shared" si="21"/>
        <v>1209.2009657215744</v>
      </c>
      <c r="F225" s="74">
        <f t="shared" si="22"/>
        <v>1474.9071493391207</v>
      </c>
      <c r="G225" s="74">
        <f t="shared" si="23"/>
        <v>288733.32462383877</v>
      </c>
    </row>
    <row r="226" spans="2:7" x14ac:dyDescent="0.25">
      <c r="B226" s="18">
        <f t="shared" si="18"/>
        <v>218</v>
      </c>
      <c r="C226" s="74">
        <f t="shared" si="19"/>
        <v>288733.32462383877</v>
      </c>
      <c r="D226" s="74">
        <f t="shared" si="20"/>
        <v>2684.1081150606951</v>
      </c>
      <c r="E226" s="74">
        <f t="shared" si="21"/>
        <v>1203.0555192659949</v>
      </c>
      <c r="F226" s="74">
        <f t="shared" si="22"/>
        <v>1481.0525957947002</v>
      </c>
      <c r="G226" s="74">
        <f t="shared" si="23"/>
        <v>287252.27202804404</v>
      </c>
    </row>
    <row r="227" spans="2:7" x14ac:dyDescent="0.25">
      <c r="B227" s="18">
        <f t="shared" si="18"/>
        <v>219</v>
      </c>
      <c r="C227" s="74">
        <f t="shared" si="19"/>
        <v>287252.27202804404</v>
      </c>
      <c r="D227" s="74">
        <f t="shared" si="20"/>
        <v>2684.1081150606951</v>
      </c>
      <c r="E227" s="74">
        <f t="shared" si="21"/>
        <v>1196.8844667835169</v>
      </c>
      <c r="F227" s="74">
        <f t="shared" si="22"/>
        <v>1487.2236482771782</v>
      </c>
      <c r="G227" s="74">
        <f t="shared" si="23"/>
        <v>285765.04837976687</v>
      </c>
    </row>
    <row r="228" spans="2:7" x14ac:dyDescent="0.25">
      <c r="B228" s="18">
        <f t="shared" si="18"/>
        <v>220</v>
      </c>
      <c r="C228" s="74">
        <f t="shared" si="19"/>
        <v>285765.04837976687</v>
      </c>
      <c r="D228" s="74">
        <f t="shared" si="20"/>
        <v>2684.1081150606951</v>
      </c>
      <c r="E228" s="74">
        <f t="shared" si="21"/>
        <v>1190.687701582362</v>
      </c>
      <c r="F228" s="74">
        <f t="shared" si="22"/>
        <v>1493.4204134783331</v>
      </c>
      <c r="G228" s="74">
        <f t="shared" si="23"/>
        <v>284271.62796628854</v>
      </c>
    </row>
    <row r="229" spans="2:7" x14ac:dyDescent="0.25">
      <c r="B229" s="18">
        <f t="shared" si="18"/>
        <v>221</v>
      </c>
      <c r="C229" s="74">
        <f t="shared" si="19"/>
        <v>284271.62796628854</v>
      </c>
      <c r="D229" s="74">
        <f t="shared" si="20"/>
        <v>2684.1081150606951</v>
      </c>
      <c r="E229" s="74">
        <f t="shared" si="21"/>
        <v>1184.4651165262023</v>
      </c>
      <c r="F229" s="74">
        <f t="shared" si="22"/>
        <v>1499.6429985344928</v>
      </c>
      <c r="G229" s="74">
        <f t="shared" si="23"/>
        <v>282771.98496775405</v>
      </c>
    </row>
    <row r="230" spans="2:7" x14ac:dyDescent="0.25">
      <c r="B230" s="18">
        <f t="shared" si="18"/>
        <v>222</v>
      </c>
      <c r="C230" s="74">
        <f t="shared" si="19"/>
        <v>282771.98496775405</v>
      </c>
      <c r="D230" s="74">
        <f t="shared" si="20"/>
        <v>2684.1081150606951</v>
      </c>
      <c r="E230" s="74">
        <f t="shared" si="21"/>
        <v>1178.2166040323086</v>
      </c>
      <c r="F230" s="74">
        <f t="shared" si="22"/>
        <v>1505.8915110283865</v>
      </c>
      <c r="G230" s="74">
        <f t="shared" si="23"/>
        <v>281266.09345672565</v>
      </c>
    </row>
    <row r="231" spans="2:7" x14ac:dyDescent="0.25">
      <c r="B231" s="18">
        <f t="shared" si="18"/>
        <v>223</v>
      </c>
      <c r="C231" s="74">
        <f t="shared" si="19"/>
        <v>281266.09345672565</v>
      </c>
      <c r="D231" s="74">
        <f t="shared" si="20"/>
        <v>2684.1081150606951</v>
      </c>
      <c r="E231" s="74">
        <f t="shared" si="21"/>
        <v>1171.9420560696901</v>
      </c>
      <c r="F231" s="74">
        <f t="shared" si="22"/>
        <v>1512.166058991005</v>
      </c>
      <c r="G231" s="74">
        <f t="shared" si="23"/>
        <v>279753.92739773466</v>
      </c>
    </row>
    <row r="232" spans="2:7" x14ac:dyDescent="0.25">
      <c r="B232" s="18">
        <f t="shared" si="18"/>
        <v>224</v>
      </c>
      <c r="C232" s="74">
        <f t="shared" si="19"/>
        <v>279753.92739773466</v>
      </c>
      <c r="D232" s="74">
        <f t="shared" si="20"/>
        <v>2684.1081150606951</v>
      </c>
      <c r="E232" s="74">
        <f t="shared" si="21"/>
        <v>1165.6413641572278</v>
      </c>
      <c r="F232" s="74">
        <f t="shared" si="22"/>
        <v>1518.4667509034673</v>
      </c>
      <c r="G232" s="74">
        <f t="shared" si="23"/>
        <v>278235.4606468312</v>
      </c>
    </row>
    <row r="233" spans="2:7" x14ac:dyDescent="0.25">
      <c r="B233" s="18">
        <f t="shared" si="18"/>
        <v>225</v>
      </c>
      <c r="C233" s="74">
        <f t="shared" si="19"/>
        <v>278235.4606468312</v>
      </c>
      <c r="D233" s="74">
        <f t="shared" si="20"/>
        <v>2684.1081150606951</v>
      </c>
      <c r="E233" s="74">
        <f t="shared" si="21"/>
        <v>1159.3144193617966</v>
      </c>
      <c r="F233" s="74">
        <f t="shared" si="22"/>
        <v>1524.7936956988985</v>
      </c>
      <c r="G233" s="74">
        <f t="shared" si="23"/>
        <v>276710.6669511323</v>
      </c>
    </row>
    <row r="234" spans="2:7" x14ac:dyDescent="0.25">
      <c r="B234" s="18">
        <f t="shared" si="18"/>
        <v>226</v>
      </c>
      <c r="C234" s="74">
        <f t="shared" si="19"/>
        <v>276710.6669511323</v>
      </c>
      <c r="D234" s="74">
        <f t="shared" si="20"/>
        <v>2684.1081150606951</v>
      </c>
      <c r="E234" s="74">
        <f t="shared" si="21"/>
        <v>1152.9611122963845</v>
      </c>
      <c r="F234" s="74">
        <f t="shared" si="22"/>
        <v>1531.1470027643106</v>
      </c>
      <c r="G234" s="74">
        <f t="shared" si="23"/>
        <v>275179.51994836796</v>
      </c>
    </row>
    <row r="235" spans="2:7" x14ac:dyDescent="0.25">
      <c r="B235" s="18">
        <f t="shared" si="18"/>
        <v>227</v>
      </c>
      <c r="C235" s="74">
        <f t="shared" si="19"/>
        <v>275179.51994836796</v>
      </c>
      <c r="D235" s="74">
        <f t="shared" si="20"/>
        <v>2684.1081150606951</v>
      </c>
      <c r="E235" s="74">
        <f t="shared" si="21"/>
        <v>1146.5813331181998</v>
      </c>
      <c r="F235" s="74">
        <f t="shared" si="22"/>
        <v>1537.5267819424953</v>
      </c>
      <c r="G235" s="74">
        <f t="shared" si="23"/>
        <v>273641.99316642544</v>
      </c>
    </row>
    <row r="236" spans="2:7" x14ac:dyDescent="0.25">
      <c r="B236" s="18">
        <f t="shared" si="18"/>
        <v>228</v>
      </c>
      <c r="C236" s="74">
        <f t="shared" si="19"/>
        <v>273641.99316642544</v>
      </c>
      <c r="D236" s="74">
        <f t="shared" si="20"/>
        <v>2684.1081150606951</v>
      </c>
      <c r="E236" s="74">
        <f t="shared" si="21"/>
        <v>1140.1749715267727</v>
      </c>
      <c r="F236" s="74">
        <f t="shared" si="22"/>
        <v>1543.9331435339225</v>
      </c>
      <c r="G236" s="74">
        <f t="shared" si="23"/>
        <v>272098.0600228915</v>
      </c>
    </row>
    <row r="237" spans="2:7" x14ac:dyDescent="0.25">
      <c r="B237" s="18">
        <f t="shared" si="18"/>
        <v>229</v>
      </c>
      <c r="C237" s="74">
        <f t="shared" si="19"/>
        <v>272098.0600228915</v>
      </c>
      <c r="D237" s="74">
        <f t="shared" si="20"/>
        <v>2684.1081150606951</v>
      </c>
      <c r="E237" s="74">
        <f t="shared" si="21"/>
        <v>1133.741916762048</v>
      </c>
      <c r="F237" s="74">
        <f t="shared" si="22"/>
        <v>1550.3661982986471</v>
      </c>
      <c r="G237" s="74">
        <f t="shared" si="23"/>
        <v>270547.69382459286</v>
      </c>
    </row>
    <row r="238" spans="2:7" x14ac:dyDescent="0.25">
      <c r="B238" s="18">
        <f t="shared" si="18"/>
        <v>230</v>
      </c>
      <c r="C238" s="74">
        <f t="shared" si="19"/>
        <v>270547.69382459286</v>
      </c>
      <c r="D238" s="74">
        <f t="shared" si="20"/>
        <v>2684.1081150606951</v>
      </c>
      <c r="E238" s="74">
        <f t="shared" si="21"/>
        <v>1127.2820576024703</v>
      </c>
      <c r="F238" s="74">
        <f t="shared" si="22"/>
        <v>1556.8260574582248</v>
      </c>
      <c r="G238" s="74">
        <f t="shared" si="23"/>
        <v>268990.86776713462</v>
      </c>
    </row>
    <row r="239" spans="2:7" x14ac:dyDescent="0.25">
      <c r="B239" s="18">
        <f t="shared" si="18"/>
        <v>231</v>
      </c>
      <c r="C239" s="74">
        <f t="shared" si="19"/>
        <v>268990.86776713462</v>
      </c>
      <c r="D239" s="74">
        <f t="shared" si="20"/>
        <v>2684.1081150606951</v>
      </c>
      <c r="E239" s="74">
        <f t="shared" si="21"/>
        <v>1120.795282363061</v>
      </c>
      <c r="F239" s="74">
        <f t="shared" si="22"/>
        <v>1563.3128326976341</v>
      </c>
      <c r="G239" s="74">
        <f t="shared" si="23"/>
        <v>267427.55493443698</v>
      </c>
    </row>
    <row r="240" spans="2:7" x14ac:dyDescent="0.25">
      <c r="B240" s="18">
        <f t="shared" si="18"/>
        <v>232</v>
      </c>
      <c r="C240" s="74">
        <f t="shared" si="19"/>
        <v>267427.55493443698</v>
      </c>
      <c r="D240" s="74">
        <f t="shared" si="20"/>
        <v>2684.1081150606951</v>
      </c>
      <c r="E240" s="74">
        <f t="shared" si="21"/>
        <v>1114.2814788934875</v>
      </c>
      <c r="F240" s="74">
        <f t="shared" si="22"/>
        <v>1569.8266361672077</v>
      </c>
      <c r="G240" s="74">
        <f t="shared" si="23"/>
        <v>265857.72829826979</v>
      </c>
    </row>
    <row r="241" spans="2:7" x14ac:dyDescent="0.25">
      <c r="B241" s="18">
        <f t="shared" si="18"/>
        <v>233</v>
      </c>
      <c r="C241" s="74">
        <f t="shared" si="19"/>
        <v>265857.72829826979</v>
      </c>
      <c r="D241" s="74">
        <f t="shared" si="20"/>
        <v>2684.1081150606951</v>
      </c>
      <c r="E241" s="74">
        <f t="shared" si="21"/>
        <v>1107.7405345761242</v>
      </c>
      <c r="F241" s="74">
        <f t="shared" si="22"/>
        <v>1576.3675804845709</v>
      </c>
      <c r="G241" s="74">
        <f t="shared" si="23"/>
        <v>264281.3607177852</v>
      </c>
    </row>
    <row r="242" spans="2:7" x14ac:dyDescent="0.25">
      <c r="B242" s="18">
        <f t="shared" si="18"/>
        <v>234</v>
      </c>
      <c r="C242" s="74">
        <f t="shared" si="19"/>
        <v>264281.3607177852</v>
      </c>
      <c r="D242" s="74">
        <f t="shared" si="20"/>
        <v>2684.1081150606951</v>
      </c>
      <c r="E242" s="74">
        <f t="shared" si="21"/>
        <v>1101.1723363241051</v>
      </c>
      <c r="F242" s="74">
        <f t="shared" si="22"/>
        <v>1582.93577873659</v>
      </c>
      <c r="G242" s="74">
        <f t="shared" si="23"/>
        <v>262698.42493904859</v>
      </c>
    </row>
    <row r="243" spans="2:7" x14ac:dyDescent="0.25">
      <c r="B243" s="18">
        <f t="shared" si="18"/>
        <v>235</v>
      </c>
      <c r="C243" s="74">
        <f t="shared" si="19"/>
        <v>262698.42493904859</v>
      </c>
      <c r="D243" s="74">
        <f t="shared" si="20"/>
        <v>2684.1081150606951</v>
      </c>
      <c r="E243" s="74">
        <f t="shared" si="21"/>
        <v>1094.5767705793692</v>
      </c>
      <c r="F243" s="74">
        <f t="shared" si="22"/>
        <v>1589.531344481326</v>
      </c>
      <c r="G243" s="74">
        <f t="shared" si="23"/>
        <v>261108.89359456726</v>
      </c>
    </row>
    <row r="244" spans="2:7" x14ac:dyDescent="0.25">
      <c r="B244" s="18">
        <f t="shared" si="18"/>
        <v>236</v>
      </c>
      <c r="C244" s="74">
        <f t="shared" si="19"/>
        <v>261108.89359456726</v>
      </c>
      <c r="D244" s="74">
        <f t="shared" si="20"/>
        <v>2684.1081150606951</v>
      </c>
      <c r="E244" s="74">
        <f t="shared" si="21"/>
        <v>1087.9537233106969</v>
      </c>
      <c r="F244" s="74">
        <f t="shared" si="22"/>
        <v>1596.1543917499982</v>
      </c>
      <c r="G244" s="74">
        <f t="shared" si="23"/>
        <v>259512.73920281726</v>
      </c>
    </row>
    <row r="245" spans="2:7" x14ac:dyDescent="0.25">
      <c r="B245" s="18">
        <f t="shared" si="18"/>
        <v>237</v>
      </c>
      <c r="C245" s="74">
        <f t="shared" si="19"/>
        <v>259512.73920281726</v>
      </c>
      <c r="D245" s="74">
        <f t="shared" si="20"/>
        <v>2684.1081150606951</v>
      </c>
      <c r="E245" s="74">
        <f t="shared" si="21"/>
        <v>1081.3030800117388</v>
      </c>
      <c r="F245" s="74">
        <f t="shared" si="22"/>
        <v>1602.8050350489564</v>
      </c>
      <c r="G245" s="74">
        <f t="shared" si="23"/>
        <v>257909.93416776831</v>
      </c>
    </row>
    <row r="246" spans="2:7" x14ac:dyDescent="0.25">
      <c r="B246" s="18">
        <f t="shared" si="18"/>
        <v>238</v>
      </c>
      <c r="C246" s="74">
        <f t="shared" si="19"/>
        <v>257909.93416776831</v>
      </c>
      <c r="D246" s="74">
        <f t="shared" si="20"/>
        <v>2684.1081150606951</v>
      </c>
      <c r="E246" s="74">
        <f t="shared" si="21"/>
        <v>1074.6247256990348</v>
      </c>
      <c r="F246" s="74">
        <f t="shared" si="22"/>
        <v>1609.4833893616603</v>
      </c>
      <c r="G246" s="74">
        <f t="shared" si="23"/>
        <v>256300.45077840664</v>
      </c>
    </row>
    <row r="247" spans="2:7" x14ac:dyDescent="0.25">
      <c r="B247" s="18">
        <f t="shared" si="18"/>
        <v>239</v>
      </c>
      <c r="C247" s="74">
        <f t="shared" si="19"/>
        <v>256300.45077840664</v>
      </c>
      <c r="D247" s="74">
        <f t="shared" si="20"/>
        <v>2684.1081150606951</v>
      </c>
      <c r="E247" s="74">
        <f t="shared" si="21"/>
        <v>1067.9185449100278</v>
      </c>
      <c r="F247" s="74">
        <f t="shared" si="22"/>
        <v>1616.1895701506674</v>
      </c>
      <c r="G247" s="74">
        <f t="shared" si="23"/>
        <v>254684.26120825598</v>
      </c>
    </row>
    <row r="248" spans="2:7" x14ac:dyDescent="0.25">
      <c r="B248" s="18">
        <f t="shared" si="18"/>
        <v>240</v>
      </c>
      <c r="C248" s="74">
        <f t="shared" si="19"/>
        <v>254684.26120825598</v>
      </c>
      <c r="D248" s="74">
        <f t="shared" si="20"/>
        <v>2684.1081150606951</v>
      </c>
      <c r="E248" s="74">
        <f t="shared" si="21"/>
        <v>1061.1844217010666</v>
      </c>
      <c r="F248" s="74">
        <f t="shared" si="22"/>
        <v>1622.9236933596285</v>
      </c>
      <c r="G248" s="74">
        <f t="shared" si="23"/>
        <v>253061.33751489635</v>
      </c>
    </row>
    <row r="249" spans="2:7" x14ac:dyDescent="0.25">
      <c r="B249" s="18">
        <f t="shared" si="18"/>
        <v>241</v>
      </c>
      <c r="C249" s="74">
        <f t="shared" si="19"/>
        <v>253061.33751489635</v>
      </c>
      <c r="D249" s="74">
        <f t="shared" si="20"/>
        <v>2684.1081150606951</v>
      </c>
      <c r="E249" s="74">
        <f t="shared" si="21"/>
        <v>1054.4222396454015</v>
      </c>
      <c r="F249" s="74">
        <f t="shared" si="22"/>
        <v>1629.6858754152936</v>
      </c>
      <c r="G249" s="74">
        <f t="shared" si="23"/>
        <v>251431.65163948105</v>
      </c>
    </row>
    <row r="250" spans="2:7" x14ac:dyDescent="0.25">
      <c r="B250" s="18">
        <f t="shared" si="18"/>
        <v>242</v>
      </c>
      <c r="C250" s="74">
        <f t="shared" si="19"/>
        <v>251431.65163948105</v>
      </c>
      <c r="D250" s="74">
        <f t="shared" si="20"/>
        <v>2684.1081150606951</v>
      </c>
      <c r="E250" s="74">
        <f t="shared" si="21"/>
        <v>1047.6318818311711</v>
      </c>
      <c r="F250" s="74">
        <f t="shared" si="22"/>
        <v>1636.476233229524</v>
      </c>
      <c r="G250" s="74">
        <f t="shared" si="23"/>
        <v>249795.17540625151</v>
      </c>
    </row>
    <row r="251" spans="2:7" x14ac:dyDescent="0.25">
      <c r="B251" s="18">
        <f t="shared" si="18"/>
        <v>243</v>
      </c>
      <c r="C251" s="74">
        <f t="shared" si="19"/>
        <v>249795.17540625151</v>
      </c>
      <c r="D251" s="74">
        <f t="shared" si="20"/>
        <v>2684.1081150606951</v>
      </c>
      <c r="E251" s="74">
        <f t="shared" si="21"/>
        <v>1040.8132308593813</v>
      </c>
      <c r="F251" s="74">
        <f t="shared" si="22"/>
        <v>1643.2948842013138</v>
      </c>
      <c r="G251" s="74">
        <f t="shared" si="23"/>
        <v>248151.8805220502</v>
      </c>
    </row>
    <row r="252" spans="2:7" x14ac:dyDescent="0.25">
      <c r="B252" s="18">
        <f t="shared" si="18"/>
        <v>244</v>
      </c>
      <c r="C252" s="74">
        <f t="shared" si="19"/>
        <v>248151.8805220502</v>
      </c>
      <c r="D252" s="74">
        <f t="shared" si="20"/>
        <v>2684.1081150606951</v>
      </c>
      <c r="E252" s="74">
        <f t="shared" si="21"/>
        <v>1033.9661688418757</v>
      </c>
      <c r="F252" s="74">
        <f t="shared" si="22"/>
        <v>1650.1419462188194</v>
      </c>
      <c r="G252" s="74">
        <f t="shared" si="23"/>
        <v>246501.73857583138</v>
      </c>
    </row>
    <row r="253" spans="2:7" x14ac:dyDescent="0.25">
      <c r="B253" s="18">
        <f t="shared" si="18"/>
        <v>245</v>
      </c>
      <c r="C253" s="74">
        <f t="shared" si="19"/>
        <v>246501.73857583138</v>
      </c>
      <c r="D253" s="74">
        <f t="shared" si="20"/>
        <v>2684.1081150606951</v>
      </c>
      <c r="E253" s="74">
        <f t="shared" si="21"/>
        <v>1027.0905773992974</v>
      </c>
      <c r="F253" s="74">
        <f t="shared" si="22"/>
        <v>1657.0175376613977</v>
      </c>
      <c r="G253" s="74">
        <f t="shared" si="23"/>
        <v>244844.72103816998</v>
      </c>
    </row>
    <row r="254" spans="2:7" x14ac:dyDescent="0.25">
      <c r="B254" s="18">
        <f t="shared" si="18"/>
        <v>246</v>
      </c>
      <c r="C254" s="74">
        <f t="shared" si="19"/>
        <v>244844.72103816998</v>
      </c>
      <c r="D254" s="74">
        <f t="shared" si="20"/>
        <v>2684.1081150606951</v>
      </c>
      <c r="E254" s="74">
        <f t="shared" si="21"/>
        <v>1020.1863376590417</v>
      </c>
      <c r="F254" s="74">
        <f t="shared" si="22"/>
        <v>1663.9217774016533</v>
      </c>
      <c r="G254" s="74">
        <f t="shared" si="23"/>
        <v>243180.79926076834</v>
      </c>
    </row>
    <row r="255" spans="2:7" x14ac:dyDescent="0.25">
      <c r="B255" s="18">
        <f t="shared" si="18"/>
        <v>247</v>
      </c>
      <c r="C255" s="74">
        <f t="shared" si="19"/>
        <v>243180.79926076834</v>
      </c>
      <c r="D255" s="74">
        <f t="shared" si="20"/>
        <v>2684.1081150606951</v>
      </c>
      <c r="E255" s="74">
        <f t="shared" si="21"/>
        <v>1013.2533302532015</v>
      </c>
      <c r="F255" s="74">
        <f t="shared" si="22"/>
        <v>1670.8547848074936</v>
      </c>
      <c r="G255" s="74">
        <f t="shared" si="23"/>
        <v>241509.94447596086</v>
      </c>
    </row>
    <row r="256" spans="2:7" x14ac:dyDescent="0.25">
      <c r="B256" s="18">
        <f t="shared" si="18"/>
        <v>248</v>
      </c>
      <c r="C256" s="74">
        <f t="shared" si="19"/>
        <v>241509.94447596086</v>
      </c>
      <c r="D256" s="74">
        <f t="shared" si="20"/>
        <v>2684.1081150606951</v>
      </c>
      <c r="E256" s="74">
        <f t="shared" si="21"/>
        <v>1006.2914353165037</v>
      </c>
      <c r="F256" s="74">
        <f t="shared" si="22"/>
        <v>1677.8166797441913</v>
      </c>
      <c r="G256" s="74">
        <f t="shared" si="23"/>
        <v>239832.12779621666</v>
      </c>
    </row>
    <row r="257" spans="2:7" x14ac:dyDescent="0.25">
      <c r="B257" s="18">
        <f t="shared" si="18"/>
        <v>249</v>
      </c>
      <c r="C257" s="74">
        <f t="shared" si="19"/>
        <v>239832.12779621666</v>
      </c>
      <c r="D257" s="74">
        <f t="shared" si="20"/>
        <v>2684.1081150606951</v>
      </c>
      <c r="E257" s="74">
        <f t="shared" si="21"/>
        <v>999.3005324842361</v>
      </c>
      <c r="F257" s="74">
        <f t="shared" si="22"/>
        <v>1684.807582576459</v>
      </c>
      <c r="G257" s="74">
        <f t="shared" si="23"/>
        <v>238147.3202136402</v>
      </c>
    </row>
    <row r="258" spans="2:7" x14ac:dyDescent="0.25">
      <c r="B258" s="18">
        <f t="shared" si="18"/>
        <v>250</v>
      </c>
      <c r="C258" s="74">
        <f t="shared" si="19"/>
        <v>238147.3202136402</v>
      </c>
      <c r="D258" s="74">
        <f t="shared" si="20"/>
        <v>2684.1081150606951</v>
      </c>
      <c r="E258" s="74">
        <f t="shared" si="21"/>
        <v>992.28050089016745</v>
      </c>
      <c r="F258" s="74">
        <f t="shared" si="22"/>
        <v>1691.8276141705278</v>
      </c>
      <c r="G258" s="74">
        <f t="shared" si="23"/>
        <v>236455.49259946967</v>
      </c>
    </row>
    <row r="259" spans="2:7" x14ac:dyDescent="0.25">
      <c r="B259" s="18">
        <f t="shared" si="18"/>
        <v>251</v>
      </c>
      <c r="C259" s="74">
        <f t="shared" si="19"/>
        <v>236455.49259946967</v>
      </c>
      <c r="D259" s="74">
        <f t="shared" si="20"/>
        <v>2684.1081150606951</v>
      </c>
      <c r="E259" s="74">
        <f t="shared" si="21"/>
        <v>985.231219164457</v>
      </c>
      <c r="F259" s="74">
        <f t="shared" si="22"/>
        <v>1698.8768958962382</v>
      </c>
      <c r="G259" s="74">
        <f t="shared" si="23"/>
        <v>234756.61570357342</v>
      </c>
    </row>
    <row r="260" spans="2:7" x14ac:dyDescent="0.25">
      <c r="B260" s="18">
        <f t="shared" si="18"/>
        <v>252</v>
      </c>
      <c r="C260" s="74">
        <f t="shared" si="19"/>
        <v>234756.61570357342</v>
      </c>
      <c r="D260" s="74">
        <f t="shared" si="20"/>
        <v>2684.1081150606951</v>
      </c>
      <c r="E260" s="74">
        <f t="shared" si="21"/>
        <v>978.15256543155601</v>
      </c>
      <c r="F260" s="74">
        <f t="shared" si="22"/>
        <v>1705.9555496291391</v>
      </c>
      <c r="G260" s="74">
        <f t="shared" si="23"/>
        <v>233050.66015394428</v>
      </c>
    </row>
    <row r="261" spans="2:7" x14ac:dyDescent="0.25">
      <c r="B261" s="18">
        <f t="shared" si="18"/>
        <v>253</v>
      </c>
      <c r="C261" s="74">
        <f t="shared" si="19"/>
        <v>233050.66015394428</v>
      </c>
      <c r="D261" s="74">
        <f t="shared" si="20"/>
        <v>2684.1081150606951</v>
      </c>
      <c r="E261" s="74">
        <f t="shared" si="21"/>
        <v>971.04441730810129</v>
      </c>
      <c r="F261" s="74">
        <f t="shared" si="22"/>
        <v>1713.0636977525937</v>
      </c>
      <c r="G261" s="74">
        <f t="shared" si="23"/>
        <v>231337.59645619168</v>
      </c>
    </row>
    <row r="262" spans="2:7" x14ac:dyDescent="0.25">
      <c r="B262" s="18">
        <f t="shared" si="18"/>
        <v>254</v>
      </c>
      <c r="C262" s="74">
        <f t="shared" si="19"/>
        <v>231337.59645619168</v>
      </c>
      <c r="D262" s="74">
        <f t="shared" si="20"/>
        <v>2684.1081150606951</v>
      </c>
      <c r="E262" s="74">
        <f t="shared" si="21"/>
        <v>963.90665190079869</v>
      </c>
      <c r="F262" s="74">
        <f t="shared" si="22"/>
        <v>1720.2014631598963</v>
      </c>
      <c r="G262" s="74">
        <f t="shared" si="23"/>
        <v>229617.39499303178</v>
      </c>
    </row>
    <row r="263" spans="2:7" x14ac:dyDescent="0.25">
      <c r="B263" s="18">
        <f t="shared" si="18"/>
        <v>255</v>
      </c>
      <c r="C263" s="74">
        <f t="shared" si="19"/>
        <v>229617.39499303178</v>
      </c>
      <c r="D263" s="74">
        <f t="shared" si="20"/>
        <v>2684.1081150606951</v>
      </c>
      <c r="E263" s="74">
        <f t="shared" si="21"/>
        <v>956.73914580429903</v>
      </c>
      <c r="F263" s="74">
        <f t="shared" si="22"/>
        <v>1727.3689692563962</v>
      </c>
      <c r="G263" s="74">
        <f t="shared" si="23"/>
        <v>227890.02602377537</v>
      </c>
    </row>
    <row r="264" spans="2:7" x14ac:dyDescent="0.25">
      <c r="B264" s="18">
        <f t="shared" si="18"/>
        <v>256</v>
      </c>
      <c r="C264" s="74">
        <f t="shared" si="19"/>
        <v>227890.02602377537</v>
      </c>
      <c r="D264" s="74">
        <f t="shared" si="20"/>
        <v>2684.1081150606951</v>
      </c>
      <c r="E264" s="74">
        <f t="shared" si="21"/>
        <v>949.54177509906413</v>
      </c>
      <c r="F264" s="74">
        <f t="shared" si="22"/>
        <v>1734.566339961631</v>
      </c>
      <c r="G264" s="74">
        <f t="shared" si="23"/>
        <v>226155.45968381374</v>
      </c>
    </row>
    <row r="265" spans="2:7" x14ac:dyDescent="0.25">
      <c r="B265" s="18">
        <f t="shared" si="18"/>
        <v>257</v>
      </c>
      <c r="C265" s="74">
        <f t="shared" si="19"/>
        <v>226155.45968381374</v>
      </c>
      <c r="D265" s="74">
        <f t="shared" si="20"/>
        <v>2684.1081150606951</v>
      </c>
      <c r="E265" s="74">
        <f t="shared" si="21"/>
        <v>942.31441534922396</v>
      </c>
      <c r="F265" s="74">
        <f t="shared" si="22"/>
        <v>1741.7936997114712</v>
      </c>
      <c r="G265" s="74">
        <f t="shared" si="23"/>
        <v>224413.66598410226</v>
      </c>
    </row>
    <row r="266" spans="2:7" x14ac:dyDescent="0.25">
      <c r="B266" s="18">
        <f t="shared" si="18"/>
        <v>258</v>
      </c>
      <c r="C266" s="74">
        <f t="shared" si="19"/>
        <v>224413.66598410226</v>
      </c>
      <c r="D266" s="74">
        <f t="shared" si="20"/>
        <v>2684.1081150606951</v>
      </c>
      <c r="E266" s="74">
        <f t="shared" si="21"/>
        <v>935.05694160042606</v>
      </c>
      <c r="F266" s="74">
        <f t="shared" si="22"/>
        <v>1749.0511734602692</v>
      </c>
      <c r="G266" s="74">
        <f t="shared" si="23"/>
        <v>222664.614810642</v>
      </c>
    </row>
    <row r="267" spans="2:7" x14ac:dyDescent="0.25">
      <c r="B267" s="18">
        <f t="shared" ref="B267:B330" si="24">B266+1</f>
        <v>259</v>
      </c>
      <c r="C267" s="74">
        <f t="shared" ref="C267:C330" si="25">G266</f>
        <v>222664.614810642</v>
      </c>
      <c r="D267" s="74">
        <f t="shared" ref="D267:D330" si="26">D266</f>
        <v>2684.1081150606951</v>
      </c>
      <c r="E267" s="74">
        <f t="shared" ref="E267:E330" si="27">$C$4*C267/12</f>
        <v>927.76922837767506</v>
      </c>
      <c r="F267" s="74">
        <f t="shared" ref="F267:F330" si="28">D267-E267</f>
        <v>1756.3388866830201</v>
      </c>
      <c r="G267" s="74">
        <f t="shared" ref="G267:G330" si="29">C267-F267</f>
        <v>220908.27592395898</v>
      </c>
    </row>
    <row r="268" spans="2:7" x14ac:dyDescent="0.25">
      <c r="B268" s="18">
        <f t="shared" si="24"/>
        <v>260</v>
      </c>
      <c r="C268" s="74">
        <f t="shared" si="25"/>
        <v>220908.27592395898</v>
      </c>
      <c r="D268" s="74">
        <f t="shared" si="26"/>
        <v>2684.1081150606951</v>
      </c>
      <c r="E268" s="74">
        <f t="shared" si="27"/>
        <v>920.4511496831625</v>
      </c>
      <c r="F268" s="74">
        <f t="shared" si="28"/>
        <v>1763.6569653775327</v>
      </c>
      <c r="G268" s="74">
        <f t="shared" si="29"/>
        <v>219144.61895858144</v>
      </c>
    </row>
    <row r="269" spans="2:7" x14ac:dyDescent="0.25">
      <c r="B269" s="18">
        <f t="shared" si="24"/>
        <v>261</v>
      </c>
      <c r="C269" s="74">
        <f t="shared" si="25"/>
        <v>219144.61895858144</v>
      </c>
      <c r="D269" s="74">
        <f t="shared" si="26"/>
        <v>2684.1081150606951</v>
      </c>
      <c r="E269" s="74">
        <f t="shared" si="27"/>
        <v>913.10257899408941</v>
      </c>
      <c r="F269" s="74">
        <f t="shared" si="28"/>
        <v>1771.0055360666056</v>
      </c>
      <c r="G269" s="74">
        <f t="shared" si="29"/>
        <v>217373.61342251484</v>
      </c>
    </row>
    <row r="270" spans="2:7" x14ac:dyDescent="0.25">
      <c r="B270" s="18">
        <f t="shared" si="24"/>
        <v>262</v>
      </c>
      <c r="C270" s="74">
        <f t="shared" si="25"/>
        <v>217373.61342251484</v>
      </c>
      <c r="D270" s="74">
        <f t="shared" si="26"/>
        <v>2684.1081150606951</v>
      </c>
      <c r="E270" s="74">
        <f t="shared" si="27"/>
        <v>905.7233892604786</v>
      </c>
      <c r="F270" s="74">
        <f t="shared" si="28"/>
        <v>1778.3847258002165</v>
      </c>
      <c r="G270" s="74">
        <f t="shared" si="29"/>
        <v>215595.22869671462</v>
      </c>
    </row>
    <row r="271" spans="2:7" x14ac:dyDescent="0.25">
      <c r="B271" s="18">
        <f t="shared" si="24"/>
        <v>263</v>
      </c>
      <c r="C271" s="74">
        <f t="shared" si="25"/>
        <v>215595.22869671462</v>
      </c>
      <c r="D271" s="74">
        <f t="shared" si="26"/>
        <v>2684.1081150606951</v>
      </c>
      <c r="E271" s="74">
        <f t="shared" si="27"/>
        <v>898.31345290297759</v>
      </c>
      <c r="F271" s="74">
        <f t="shared" si="28"/>
        <v>1785.7946621577175</v>
      </c>
      <c r="G271" s="74">
        <f t="shared" si="29"/>
        <v>213809.43403455691</v>
      </c>
    </row>
    <row r="272" spans="2:7" x14ac:dyDescent="0.25">
      <c r="B272" s="18">
        <f t="shared" si="24"/>
        <v>264</v>
      </c>
      <c r="C272" s="74">
        <f t="shared" si="25"/>
        <v>213809.43403455691</v>
      </c>
      <c r="D272" s="74">
        <f t="shared" si="26"/>
        <v>2684.1081150606951</v>
      </c>
      <c r="E272" s="74">
        <f t="shared" si="27"/>
        <v>890.87264181065382</v>
      </c>
      <c r="F272" s="74">
        <f t="shared" si="28"/>
        <v>1793.2354732500412</v>
      </c>
      <c r="G272" s="74">
        <f t="shared" si="29"/>
        <v>212016.19856130687</v>
      </c>
    </row>
    <row r="273" spans="2:7" x14ac:dyDescent="0.25">
      <c r="B273" s="18">
        <f t="shared" si="24"/>
        <v>265</v>
      </c>
      <c r="C273" s="74">
        <f t="shared" si="25"/>
        <v>212016.19856130687</v>
      </c>
      <c r="D273" s="74">
        <f t="shared" si="26"/>
        <v>2684.1081150606951</v>
      </c>
      <c r="E273" s="74">
        <f t="shared" si="27"/>
        <v>883.40082733877864</v>
      </c>
      <c r="F273" s="74">
        <f t="shared" si="28"/>
        <v>1800.7072877219166</v>
      </c>
      <c r="G273" s="74">
        <f t="shared" si="29"/>
        <v>210215.49127358495</v>
      </c>
    </row>
    <row r="274" spans="2:7" x14ac:dyDescent="0.25">
      <c r="B274" s="18">
        <f t="shared" si="24"/>
        <v>266</v>
      </c>
      <c r="C274" s="74">
        <f t="shared" si="25"/>
        <v>210215.49127358495</v>
      </c>
      <c r="D274" s="74">
        <f t="shared" si="26"/>
        <v>2684.1081150606951</v>
      </c>
      <c r="E274" s="74">
        <f t="shared" si="27"/>
        <v>875.89788030660395</v>
      </c>
      <c r="F274" s="74">
        <f t="shared" si="28"/>
        <v>1808.2102347540913</v>
      </c>
      <c r="G274" s="74">
        <f t="shared" si="29"/>
        <v>208407.28103883087</v>
      </c>
    </row>
    <row r="275" spans="2:7" x14ac:dyDescent="0.25">
      <c r="B275" s="18">
        <f t="shared" si="24"/>
        <v>267</v>
      </c>
      <c r="C275" s="74">
        <f t="shared" si="25"/>
        <v>208407.28103883087</v>
      </c>
      <c r="D275" s="74">
        <f t="shared" si="26"/>
        <v>2684.1081150606951</v>
      </c>
      <c r="E275" s="74">
        <f t="shared" si="27"/>
        <v>868.3636709951287</v>
      </c>
      <c r="F275" s="74">
        <f t="shared" si="28"/>
        <v>1815.7444440655663</v>
      </c>
      <c r="G275" s="74">
        <f t="shared" si="29"/>
        <v>206591.53659476532</v>
      </c>
    </row>
    <row r="276" spans="2:7" x14ac:dyDescent="0.25">
      <c r="B276" s="18">
        <f t="shared" si="24"/>
        <v>268</v>
      </c>
      <c r="C276" s="74">
        <f t="shared" si="25"/>
        <v>206591.53659476532</v>
      </c>
      <c r="D276" s="74">
        <f t="shared" si="26"/>
        <v>2684.1081150606951</v>
      </c>
      <c r="E276" s="74">
        <f t="shared" si="27"/>
        <v>860.79806914485562</v>
      </c>
      <c r="F276" s="74">
        <f t="shared" si="28"/>
        <v>1823.3100459158395</v>
      </c>
      <c r="G276" s="74">
        <f t="shared" si="29"/>
        <v>204768.22654884949</v>
      </c>
    </row>
    <row r="277" spans="2:7" x14ac:dyDescent="0.25">
      <c r="B277" s="18">
        <f t="shared" si="24"/>
        <v>269</v>
      </c>
      <c r="C277" s="74">
        <f t="shared" si="25"/>
        <v>204768.22654884949</v>
      </c>
      <c r="D277" s="74">
        <f t="shared" si="26"/>
        <v>2684.1081150606951</v>
      </c>
      <c r="E277" s="74">
        <f t="shared" si="27"/>
        <v>853.20094395353954</v>
      </c>
      <c r="F277" s="74">
        <f t="shared" si="28"/>
        <v>1830.9071711071556</v>
      </c>
      <c r="G277" s="74">
        <f t="shared" si="29"/>
        <v>202937.31937774233</v>
      </c>
    </row>
    <row r="278" spans="2:7" x14ac:dyDescent="0.25">
      <c r="B278" s="18">
        <f t="shared" si="24"/>
        <v>270</v>
      </c>
      <c r="C278" s="74">
        <f t="shared" si="25"/>
        <v>202937.31937774233</v>
      </c>
      <c r="D278" s="74">
        <f t="shared" si="26"/>
        <v>2684.1081150606951</v>
      </c>
      <c r="E278" s="74">
        <f t="shared" si="27"/>
        <v>845.5721640739265</v>
      </c>
      <c r="F278" s="74">
        <f t="shared" si="28"/>
        <v>1838.5359509867685</v>
      </c>
      <c r="G278" s="74">
        <f t="shared" si="29"/>
        <v>201098.78342675557</v>
      </c>
    </row>
    <row r="279" spans="2:7" x14ac:dyDescent="0.25">
      <c r="B279" s="18">
        <f t="shared" si="24"/>
        <v>271</v>
      </c>
      <c r="C279" s="74">
        <f t="shared" si="25"/>
        <v>201098.78342675557</v>
      </c>
      <c r="D279" s="74">
        <f t="shared" si="26"/>
        <v>2684.1081150606951</v>
      </c>
      <c r="E279" s="74">
        <f t="shared" si="27"/>
        <v>837.91159761148162</v>
      </c>
      <c r="F279" s="74">
        <f t="shared" si="28"/>
        <v>1846.1965174492134</v>
      </c>
      <c r="G279" s="74">
        <f t="shared" si="29"/>
        <v>199252.58690930635</v>
      </c>
    </row>
    <row r="280" spans="2:7" x14ac:dyDescent="0.25">
      <c r="B280" s="18">
        <f t="shared" si="24"/>
        <v>272</v>
      </c>
      <c r="C280" s="74">
        <f t="shared" si="25"/>
        <v>199252.58690930635</v>
      </c>
      <c r="D280" s="74">
        <f t="shared" si="26"/>
        <v>2684.1081150606951</v>
      </c>
      <c r="E280" s="74">
        <f t="shared" si="27"/>
        <v>830.21911212210989</v>
      </c>
      <c r="F280" s="74">
        <f t="shared" si="28"/>
        <v>1853.8890029385852</v>
      </c>
      <c r="G280" s="74">
        <f t="shared" si="29"/>
        <v>197398.69790636777</v>
      </c>
    </row>
    <row r="281" spans="2:7" x14ac:dyDescent="0.25">
      <c r="B281" s="18">
        <f t="shared" si="24"/>
        <v>273</v>
      </c>
      <c r="C281" s="74">
        <f t="shared" si="25"/>
        <v>197398.69790636777</v>
      </c>
      <c r="D281" s="74">
        <f t="shared" si="26"/>
        <v>2684.1081150606951</v>
      </c>
      <c r="E281" s="74">
        <f t="shared" si="27"/>
        <v>822.49457460986571</v>
      </c>
      <c r="F281" s="74">
        <f t="shared" si="28"/>
        <v>1861.6135404508295</v>
      </c>
      <c r="G281" s="74">
        <f t="shared" si="29"/>
        <v>195537.08436591693</v>
      </c>
    </row>
    <row r="282" spans="2:7" x14ac:dyDescent="0.25">
      <c r="B282" s="18">
        <f t="shared" si="24"/>
        <v>274</v>
      </c>
      <c r="C282" s="74">
        <f t="shared" si="25"/>
        <v>195537.08436591693</v>
      </c>
      <c r="D282" s="74">
        <f t="shared" si="26"/>
        <v>2684.1081150606951</v>
      </c>
      <c r="E282" s="74">
        <f t="shared" si="27"/>
        <v>814.73785152465382</v>
      </c>
      <c r="F282" s="74">
        <f t="shared" si="28"/>
        <v>1869.3702635360414</v>
      </c>
      <c r="G282" s="74">
        <f t="shared" si="29"/>
        <v>193667.71410238088</v>
      </c>
    </row>
    <row r="283" spans="2:7" x14ac:dyDescent="0.25">
      <c r="B283" s="18">
        <f t="shared" si="24"/>
        <v>275</v>
      </c>
      <c r="C283" s="74">
        <f t="shared" si="25"/>
        <v>193667.71410238088</v>
      </c>
      <c r="D283" s="74">
        <f t="shared" si="26"/>
        <v>2684.1081150606951</v>
      </c>
      <c r="E283" s="74">
        <f t="shared" si="27"/>
        <v>806.94880875992033</v>
      </c>
      <c r="F283" s="74">
        <f t="shared" si="28"/>
        <v>1877.1593063007749</v>
      </c>
      <c r="G283" s="74">
        <f t="shared" si="29"/>
        <v>191790.55479608011</v>
      </c>
    </row>
    <row r="284" spans="2:7" x14ac:dyDescent="0.25">
      <c r="B284" s="18">
        <f t="shared" si="24"/>
        <v>276</v>
      </c>
      <c r="C284" s="74">
        <f t="shared" si="25"/>
        <v>191790.55479608011</v>
      </c>
      <c r="D284" s="74">
        <f t="shared" si="26"/>
        <v>2684.1081150606951</v>
      </c>
      <c r="E284" s="74">
        <f t="shared" si="27"/>
        <v>799.12731165033381</v>
      </c>
      <c r="F284" s="74">
        <f t="shared" si="28"/>
        <v>1884.9808034103612</v>
      </c>
      <c r="G284" s="74">
        <f t="shared" si="29"/>
        <v>189905.57399266976</v>
      </c>
    </row>
    <row r="285" spans="2:7" x14ac:dyDescent="0.25">
      <c r="B285" s="18">
        <f t="shared" si="24"/>
        <v>277</v>
      </c>
      <c r="C285" s="74">
        <f t="shared" si="25"/>
        <v>189905.57399266976</v>
      </c>
      <c r="D285" s="74">
        <f t="shared" si="26"/>
        <v>2684.1081150606951</v>
      </c>
      <c r="E285" s="74">
        <f t="shared" si="27"/>
        <v>791.27322496945737</v>
      </c>
      <c r="F285" s="74">
        <f t="shared" si="28"/>
        <v>1892.8348900912379</v>
      </c>
      <c r="G285" s="74">
        <f t="shared" si="29"/>
        <v>188012.73910257852</v>
      </c>
    </row>
    <row r="286" spans="2:7" x14ac:dyDescent="0.25">
      <c r="B286" s="18">
        <f t="shared" si="24"/>
        <v>278</v>
      </c>
      <c r="C286" s="74">
        <f t="shared" si="25"/>
        <v>188012.73910257852</v>
      </c>
      <c r="D286" s="74">
        <f t="shared" si="26"/>
        <v>2684.1081150606951</v>
      </c>
      <c r="E286" s="74">
        <f t="shared" si="27"/>
        <v>783.38641292741056</v>
      </c>
      <c r="F286" s="74">
        <f t="shared" si="28"/>
        <v>1900.7217021332845</v>
      </c>
      <c r="G286" s="74">
        <f t="shared" si="29"/>
        <v>186112.01740044524</v>
      </c>
    </row>
    <row r="287" spans="2:7" x14ac:dyDescent="0.25">
      <c r="B287" s="18">
        <f t="shared" si="24"/>
        <v>279</v>
      </c>
      <c r="C287" s="74">
        <f t="shared" si="25"/>
        <v>186112.01740044524</v>
      </c>
      <c r="D287" s="74">
        <f t="shared" si="26"/>
        <v>2684.1081150606951</v>
      </c>
      <c r="E287" s="74">
        <f t="shared" si="27"/>
        <v>775.46673916852194</v>
      </c>
      <c r="F287" s="74">
        <f t="shared" si="28"/>
        <v>1908.6413758921731</v>
      </c>
      <c r="G287" s="74">
        <f t="shared" si="29"/>
        <v>184203.37602455306</v>
      </c>
    </row>
    <row r="288" spans="2:7" x14ac:dyDescent="0.25">
      <c r="B288" s="18">
        <f t="shared" si="24"/>
        <v>280</v>
      </c>
      <c r="C288" s="74">
        <f t="shared" si="25"/>
        <v>184203.37602455306</v>
      </c>
      <c r="D288" s="74">
        <f t="shared" si="26"/>
        <v>2684.1081150606951</v>
      </c>
      <c r="E288" s="74">
        <f t="shared" si="27"/>
        <v>767.51406676897113</v>
      </c>
      <c r="F288" s="74">
        <f t="shared" si="28"/>
        <v>1916.594048291724</v>
      </c>
      <c r="G288" s="74">
        <f t="shared" si="29"/>
        <v>182286.78197626132</v>
      </c>
    </row>
    <row r="289" spans="2:7" x14ac:dyDescent="0.25">
      <c r="B289" s="18">
        <f t="shared" si="24"/>
        <v>281</v>
      </c>
      <c r="C289" s="74">
        <f t="shared" si="25"/>
        <v>182286.78197626132</v>
      </c>
      <c r="D289" s="74">
        <f t="shared" si="26"/>
        <v>2684.1081150606951</v>
      </c>
      <c r="E289" s="74">
        <f t="shared" si="27"/>
        <v>759.5282582344222</v>
      </c>
      <c r="F289" s="74">
        <f t="shared" si="28"/>
        <v>1924.579856826273</v>
      </c>
      <c r="G289" s="74">
        <f t="shared" si="29"/>
        <v>180362.20211943504</v>
      </c>
    </row>
    <row r="290" spans="2:7" x14ac:dyDescent="0.25">
      <c r="B290" s="18">
        <f t="shared" si="24"/>
        <v>282</v>
      </c>
      <c r="C290" s="74">
        <f t="shared" si="25"/>
        <v>180362.20211943504</v>
      </c>
      <c r="D290" s="74">
        <f t="shared" si="26"/>
        <v>2684.1081150606951</v>
      </c>
      <c r="E290" s="74">
        <f t="shared" si="27"/>
        <v>751.50917549764608</v>
      </c>
      <c r="F290" s="74">
        <f t="shared" si="28"/>
        <v>1932.598939563049</v>
      </c>
      <c r="G290" s="74">
        <f t="shared" si="29"/>
        <v>178429.60317987198</v>
      </c>
    </row>
    <row r="291" spans="2:7" x14ac:dyDescent="0.25">
      <c r="B291" s="18">
        <f t="shared" si="24"/>
        <v>283</v>
      </c>
      <c r="C291" s="74">
        <f t="shared" si="25"/>
        <v>178429.60317987198</v>
      </c>
      <c r="D291" s="74">
        <f t="shared" si="26"/>
        <v>2684.1081150606951</v>
      </c>
      <c r="E291" s="74">
        <f t="shared" si="27"/>
        <v>743.45667991613334</v>
      </c>
      <c r="F291" s="74">
        <f t="shared" si="28"/>
        <v>1940.6514351445617</v>
      </c>
      <c r="G291" s="74">
        <f t="shared" si="29"/>
        <v>176488.95174472741</v>
      </c>
    </row>
    <row r="292" spans="2:7" x14ac:dyDescent="0.25">
      <c r="B292" s="18">
        <f t="shared" si="24"/>
        <v>284</v>
      </c>
      <c r="C292" s="74">
        <f t="shared" si="25"/>
        <v>176488.95174472741</v>
      </c>
      <c r="D292" s="74">
        <f t="shared" si="26"/>
        <v>2684.1081150606951</v>
      </c>
      <c r="E292" s="74">
        <f t="shared" si="27"/>
        <v>735.37063226969758</v>
      </c>
      <c r="F292" s="74">
        <f t="shared" si="28"/>
        <v>1948.7374827909975</v>
      </c>
      <c r="G292" s="74">
        <f t="shared" si="29"/>
        <v>174540.2142619364</v>
      </c>
    </row>
    <row r="293" spans="2:7" x14ac:dyDescent="0.25">
      <c r="B293" s="18">
        <f t="shared" si="24"/>
        <v>285</v>
      </c>
      <c r="C293" s="74">
        <f t="shared" si="25"/>
        <v>174540.2142619364</v>
      </c>
      <c r="D293" s="74">
        <f t="shared" si="26"/>
        <v>2684.1081150606951</v>
      </c>
      <c r="E293" s="74">
        <f t="shared" si="27"/>
        <v>727.2508927580684</v>
      </c>
      <c r="F293" s="74">
        <f t="shared" si="28"/>
        <v>1956.8572223026267</v>
      </c>
      <c r="G293" s="74">
        <f t="shared" si="29"/>
        <v>172583.35703963379</v>
      </c>
    </row>
    <row r="294" spans="2:7" x14ac:dyDescent="0.25">
      <c r="B294" s="18">
        <f t="shared" si="24"/>
        <v>286</v>
      </c>
      <c r="C294" s="74">
        <f t="shared" si="25"/>
        <v>172583.35703963379</v>
      </c>
      <c r="D294" s="74">
        <f t="shared" si="26"/>
        <v>2684.1081150606951</v>
      </c>
      <c r="E294" s="74">
        <f t="shared" si="27"/>
        <v>719.09732099847417</v>
      </c>
      <c r="F294" s="74">
        <f t="shared" si="28"/>
        <v>1965.0107940622211</v>
      </c>
      <c r="G294" s="74">
        <f t="shared" si="29"/>
        <v>170618.34624557156</v>
      </c>
    </row>
    <row r="295" spans="2:7" x14ac:dyDescent="0.25">
      <c r="B295" s="18">
        <f t="shared" si="24"/>
        <v>287</v>
      </c>
      <c r="C295" s="74">
        <f t="shared" si="25"/>
        <v>170618.34624557156</v>
      </c>
      <c r="D295" s="74">
        <f t="shared" si="26"/>
        <v>2684.1081150606951</v>
      </c>
      <c r="E295" s="74">
        <f t="shared" si="27"/>
        <v>710.90977602321482</v>
      </c>
      <c r="F295" s="74">
        <f t="shared" si="28"/>
        <v>1973.1983390374803</v>
      </c>
      <c r="G295" s="74">
        <f t="shared" si="29"/>
        <v>168645.14790653408</v>
      </c>
    </row>
    <row r="296" spans="2:7" x14ac:dyDescent="0.25">
      <c r="B296" s="18">
        <f t="shared" si="24"/>
        <v>288</v>
      </c>
      <c r="C296" s="74">
        <f t="shared" si="25"/>
        <v>168645.14790653408</v>
      </c>
      <c r="D296" s="74">
        <f t="shared" si="26"/>
        <v>2684.1081150606951</v>
      </c>
      <c r="E296" s="74">
        <f t="shared" si="27"/>
        <v>702.68811627722528</v>
      </c>
      <c r="F296" s="74">
        <f t="shared" si="28"/>
        <v>1981.41999878347</v>
      </c>
      <c r="G296" s="74">
        <f t="shared" si="29"/>
        <v>166663.72790775061</v>
      </c>
    </row>
    <row r="297" spans="2:7" x14ac:dyDescent="0.25">
      <c r="B297" s="18">
        <f t="shared" si="24"/>
        <v>289</v>
      </c>
      <c r="C297" s="74">
        <f t="shared" si="25"/>
        <v>166663.72790775061</v>
      </c>
      <c r="D297" s="74">
        <f t="shared" si="26"/>
        <v>2684.1081150606951</v>
      </c>
      <c r="E297" s="74">
        <f t="shared" si="27"/>
        <v>694.43219961562761</v>
      </c>
      <c r="F297" s="74">
        <f t="shared" si="28"/>
        <v>1989.6759154450674</v>
      </c>
      <c r="G297" s="74">
        <f t="shared" si="29"/>
        <v>164674.05199230555</v>
      </c>
    </row>
    <row r="298" spans="2:7" x14ac:dyDescent="0.25">
      <c r="B298" s="18">
        <f t="shared" si="24"/>
        <v>290</v>
      </c>
      <c r="C298" s="74">
        <f t="shared" si="25"/>
        <v>164674.05199230555</v>
      </c>
      <c r="D298" s="74">
        <f t="shared" si="26"/>
        <v>2684.1081150606951</v>
      </c>
      <c r="E298" s="74">
        <f t="shared" si="27"/>
        <v>686.1418833012732</v>
      </c>
      <c r="F298" s="74">
        <f t="shared" si="28"/>
        <v>1997.966231759422</v>
      </c>
      <c r="G298" s="74">
        <f t="shared" si="29"/>
        <v>162676.08576054612</v>
      </c>
    </row>
    <row r="299" spans="2:7" x14ac:dyDescent="0.25">
      <c r="B299" s="18">
        <f t="shared" si="24"/>
        <v>291</v>
      </c>
      <c r="C299" s="74">
        <f t="shared" si="25"/>
        <v>162676.08576054612</v>
      </c>
      <c r="D299" s="74">
        <f t="shared" si="26"/>
        <v>2684.1081150606951</v>
      </c>
      <c r="E299" s="74">
        <f t="shared" si="27"/>
        <v>677.8170240022755</v>
      </c>
      <c r="F299" s="74">
        <f t="shared" si="28"/>
        <v>2006.2910910584196</v>
      </c>
      <c r="G299" s="74">
        <f t="shared" si="29"/>
        <v>160669.79466948769</v>
      </c>
    </row>
    <row r="300" spans="2:7" x14ac:dyDescent="0.25">
      <c r="B300" s="18">
        <f t="shared" si="24"/>
        <v>292</v>
      </c>
      <c r="C300" s="74">
        <f t="shared" si="25"/>
        <v>160669.79466948769</v>
      </c>
      <c r="D300" s="74">
        <f t="shared" si="26"/>
        <v>2684.1081150606951</v>
      </c>
      <c r="E300" s="74">
        <f t="shared" si="27"/>
        <v>669.45747778953205</v>
      </c>
      <c r="F300" s="74">
        <f t="shared" si="28"/>
        <v>2014.6506372711631</v>
      </c>
      <c r="G300" s="74">
        <f t="shared" si="29"/>
        <v>158655.14403221651</v>
      </c>
    </row>
    <row r="301" spans="2:7" x14ac:dyDescent="0.25">
      <c r="B301" s="18">
        <f t="shared" si="24"/>
        <v>293</v>
      </c>
      <c r="C301" s="74">
        <f t="shared" si="25"/>
        <v>158655.14403221651</v>
      </c>
      <c r="D301" s="74">
        <f t="shared" si="26"/>
        <v>2684.1081150606951</v>
      </c>
      <c r="E301" s="74">
        <f t="shared" si="27"/>
        <v>661.06310013423547</v>
      </c>
      <c r="F301" s="74">
        <f t="shared" si="28"/>
        <v>2023.0450149264598</v>
      </c>
      <c r="G301" s="74">
        <f t="shared" si="29"/>
        <v>156632.09901729005</v>
      </c>
    </row>
    <row r="302" spans="2:7" x14ac:dyDescent="0.25">
      <c r="B302" s="18">
        <f t="shared" si="24"/>
        <v>294</v>
      </c>
      <c r="C302" s="74">
        <f t="shared" si="25"/>
        <v>156632.09901729005</v>
      </c>
      <c r="D302" s="74">
        <f t="shared" si="26"/>
        <v>2684.1081150606951</v>
      </c>
      <c r="E302" s="74">
        <f t="shared" si="27"/>
        <v>652.63374590537524</v>
      </c>
      <c r="F302" s="74">
        <f t="shared" si="28"/>
        <v>2031.4743691553199</v>
      </c>
      <c r="G302" s="74">
        <f t="shared" si="29"/>
        <v>154600.62464813472</v>
      </c>
    </row>
    <row r="303" spans="2:7" x14ac:dyDescent="0.25">
      <c r="B303" s="18">
        <f t="shared" si="24"/>
        <v>295</v>
      </c>
      <c r="C303" s="74">
        <f t="shared" si="25"/>
        <v>154600.62464813472</v>
      </c>
      <c r="D303" s="74">
        <f t="shared" si="26"/>
        <v>2684.1081150606951</v>
      </c>
      <c r="E303" s="74">
        <f t="shared" si="27"/>
        <v>644.16926936722803</v>
      </c>
      <c r="F303" s="74">
        <f t="shared" si="28"/>
        <v>2039.9388456934671</v>
      </c>
      <c r="G303" s="74">
        <f t="shared" si="29"/>
        <v>152560.68580244126</v>
      </c>
    </row>
    <row r="304" spans="2:7" x14ac:dyDescent="0.25">
      <c r="B304" s="18">
        <f t="shared" si="24"/>
        <v>296</v>
      </c>
      <c r="C304" s="74">
        <f t="shared" si="25"/>
        <v>152560.68580244126</v>
      </c>
      <c r="D304" s="74">
        <f t="shared" si="26"/>
        <v>2684.1081150606951</v>
      </c>
      <c r="E304" s="74">
        <f t="shared" si="27"/>
        <v>635.66952417683865</v>
      </c>
      <c r="F304" s="74">
        <f t="shared" si="28"/>
        <v>2048.4385908838567</v>
      </c>
      <c r="G304" s="74">
        <f t="shared" si="29"/>
        <v>150512.24721155741</v>
      </c>
    </row>
    <row r="305" spans="2:7" x14ac:dyDescent="0.25">
      <c r="B305" s="18">
        <f t="shared" si="24"/>
        <v>297</v>
      </c>
      <c r="C305" s="74">
        <f t="shared" si="25"/>
        <v>150512.24721155741</v>
      </c>
      <c r="D305" s="74">
        <f t="shared" si="26"/>
        <v>2684.1081150606951</v>
      </c>
      <c r="E305" s="74">
        <f t="shared" si="27"/>
        <v>627.13436338148915</v>
      </c>
      <c r="F305" s="74">
        <f t="shared" si="28"/>
        <v>2056.9737516792061</v>
      </c>
      <c r="G305" s="74">
        <f t="shared" si="29"/>
        <v>148455.2734598782</v>
      </c>
    </row>
    <row r="306" spans="2:7" x14ac:dyDescent="0.25">
      <c r="B306" s="18">
        <f t="shared" si="24"/>
        <v>298</v>
      </c>
      <c r="C306" s="74">
        <f t="shared" si="25"/>
        <v>148455.2734598782</v>
      </c>
      <c r="D306" s="74">
        <f t="shared" si="26"/>
        <v>2684.1081150606951</v>
      </c>
      <c r="E306" s="74">
        <f t="shared" si="27"/>
        <v>618.56363941615916</v>
      </c>
      <c r="F306" s="74">
        <f t="shared" si="28"/>
        <v>2065.5444756445359</v>
      </c>
      <c r="G306" s="74">
        <f t="shared" si="29"/>
        <v>146389.72898423366</v>
      </c>
    </row>
    <row r="307" spans="2:7" x14ac:dyDescent="0.25">
      <c r="B307" s="18">
        <f t="shared" si="24"/>
        <v>299</v>
      </c>
      <c r="C307" s="74">
        <f t="shared" si="25"/>
        <v>146389.72898423366</v>
      </c>
      <c r="D307" s="74">
        <f t="shared" si="26"/>
        <v>2684.1081150606951</v>
      </c>
      <c r="E307" s="74">
        <f t="shared" si="27"/>
        <v>609.95720410097363</v>
      </c>
      <c r="F307" s="74">
        <f t="shared" si="28"/>
        <v>2074.1509109597214</v>
      </c>
      <c r="G307" s="74">
        <f t="shared" si="29"/>
        <v>144315.57807327394</v>
      </c>
    </row>
    <row r="308" spans="2:7" x14ac:dyDescent="0.25">
      <c r="B308" s="18">
        <f t="shared" si="24"/>
        <v>300</v>
      </c>
      <c r="C308" s="74">
        <f t="shared" si="25"/>
        <v>144315.57807327394</v>
      </c>
      <c r="D308" s="74">
        <f t="shared" si="26"/>
        <v>2684.1081150606951</v>
      </c>
      <c r="E308" s="74">
        <f t="shared" si="27"/>
        <v>601.31490863864144</v>
      </c>
      <c r="F308" s="74">
        <f t="shared" si="28"/>
        <v>2082.7932064220536</v>
      </c>
      <c r="G308" s="74">
        <f t="shared" si="29"/>
        <v>142232.78486685187</v>
      </c>
    </row>
    <row r="309" spans="2:7" x14ac:dyDescent="0.25">
      <c r="B309" s="18">
        <f t="shared" si="24"/>
        <v>301</v>
      </c>
      <c r="C309" s="74">
        <f t="shared" si="25"/>
        <v>142232.78486685187</v>
      </c>
      <c r="D309" s="74">
        <f t="shared" si="26"/>
        <v>2684.1081150606951</v>
      </c>
      <c r="E309" s="74">
        <f t="shared" si="27"/>
        <v>592.63660361188283</v>
      </c>
      <c r="F309" s="74">
        <f t="shared" si="28"/>
        <v>2091.4715114488122</v>
      </c>
      <c r="G309" s="74">
        <f t="shared" si="29"/>
        <v>140141.31335540305</v>
      </c>
    </row>
    <row r="310" spans="2:7" x14ac:dyDescent="0.25">
      <c r="B310" s="18">
        <f t="shared" si="24"/>
        <v>302</v>
      </c>
      <c r="C310" s="74">
        <f t="shared" si="25"/>
        <v>140141.31335540305</v>
      </c>
      <c r="D310" s="74">
        <f t="shared" si="26"/>
        <v>2684.1081150606951</v>
      </c>
      <c r="E310" s="74">
        <f t="shared" si="27"/>
        <v>583.92213898084606</v>
      </c>
      <c r="F310" s="74">
        <f t="shared" si="28"/>
        <v>2100.1859760798488</v>
      </c>
      <c r="G310" s="74">
        <f t="shared" si="29"/>
        <v>138041.12737932321</v>
      </c>
    </row>
    <row r="311" spans="2:7" x14ac:dyDescent="0.25">
      <c r="B311" s="18">
        <f t="shared" si="24"/>
        <v>303</v>
      </c>
      <c r="C311" s="74">
        <f t="shared" si="25"/>
        <v>138041.12737932321</v>
      </c>
      <c r="D311" s="74">
        <f t="shared" si="26"/>
        <v>2684.1081150606951</v>
      </c>
      <c r="E311" s="74">
        <f t="shared" si="27"/>
        <v>575.1713640805134</v>
      </c>
      <c r="F311" s="74">
        <f t="shared" si="28"/>
        <v>2108.9367509801818</v>
      </c>
      <c r="G311" s="74">
        <f t="shared" si="29"/>
        <v>135932.19062834303</v>
      </c>
    </row>
    <row r="312" spans="2:7" x14ac:dyDescent="0.25">
      <c r="B312" s="18">
        <f t="shared" si="24"/>
        <v>304</v>
      </c>
      <c r="C312" s="74">
        <f t="shared" si="25"/>
        <v>135932.19062834303</v>
      </c>
      <c r="D312" s="74">
        <f t="shared" si="26"/>
        <v>2684.1081150606951</v>
      </c>
      <c r="E312" s="74">
        <f t="shared" si="27"/>
        <v>566.38412761809593</v>
      </c>
      <c r="F312" s="74">
        <f t="shared" si="28"/>
        <v>2117.7239874425991</v>
      </c>
      <c r="G312" s="74">
        <f t="shared" si="29"/>
        <v>133814.46664090044</v>
      </c>
    </row>
    <row r="313" spans="2:7" x14ac:dyDescent="0.25">
      <c r="B313" s="18">
        <f t="shared" si="24"/>
        <v>305</v>
      </c>
      <c r="C313" s="74">
        <f t="shared" si="25"/>
        <v>133814.46664090044</v>
      </c>
      <c r="D313" s="74">
        <f t="shared" si="26"/>
        <v>2684.1081150606951</v>
      </c>
      <c r="E313" s="74">
        <f t="shared" si="27"/>
        <v>557.56027767041849</v>
      </c>
      <c r="F313" s="74">
        <f t="shared" si="28"/>
        <v>2126.5478373902765</v>
      </c>
      <c r="G313" s="74">
        <f t="shared" si="29"/>
        <v>131687.91880351017</v>
      </c>
    </row>
    <row r="314" spans="2:7" x14ac:dyDescent="0.25">
      <c r="B314" s="18">
        <f t="shared" si="24"/>
        <v>306</v>
      </c>
      <c r="C314" s="74">
        <f t="shared" si="25"/>
        <v>131687.91880351017</v>
      </c>
      <c r="D314" s="74">
        <f t="shared" si="26"/>
        <v>2684.1081150606951</v>
      </c>
      <c r="E314" s="74">
        <f t="shared" si="27"/>
        <v>548.69966168129247</v>
      </c>
      <c r="F314" s="74">
        <f t="shared" si="28"/>
        <v>2135.4084533794025</v>
      </c>
      <c r="G314" s="74">
        <f t="shared" si="29"/>
        <v>129552.51035013076</v>
      </c>
    </row>
    <row r="315" spans="2:7" x14ac:dyDescent="0.25">
      <c r="B315" s="18">
        <f t="shared" si="24"/>
        <v>307</v>
      </c>
      <c r="C315" s="74">
        <f t="shared" si="25"/>
        <v>129552.51035013076</v>
      </c>
      <c r="D315" s="74">
        <f t="shared" si="26"/>
        <v>2684.1081150606951</v>
      </c>
      <c r="E315" s="74">
        <f t="shared" si="27"/>
        <v>539.80212645887821</v>
      </c>
      <c r="F315" s="74">
        <f t="shared" si="28"/>
        <v>2144.3059886018168</v>
      </c>
      <c r="G315" s="74">
        <f t="shared" si="29"/>
        <v>127408.20436152894</v>
      </c>
    </row>
    <row r="316" spans="2:7" x14ac:dyDescent="0.25">
      <c r="B316" s="18">
        <f t="shared" si="24"/>
        <v>308</v>
      </c>
      <c r="C316" s="74">
        <f t="shared" si="25"/>
        <v>127408.20436152894</v>
      </c>
      <c r="D316" s="74">
        <f t="shared" si="26"/>
        <v>2684.1081150606951</v>
      </c>
      <c r="E316" s="74">
        <f t="shared" si="27"/>
        <v>530.8675181730373</v>
      </c>
      <c r="F316" s="74">
        <f t="shared" si="28"/>
        <v>2153.2405968876578</v>
      </c>
      <c r="G316" s="74">
        <f t="shared" si="29"/>
        <v>125254.96376464129</v>
      </c>
    </row>
    <row r="317" spans="2:7" x14ac:dyDescent="0.25">
      <c r="B317" s="18">
        <f t="shared" si="24"/>
        <v>309</v>
      </c>
      <c r="C317" s="74">
        <f t="shared" si="25"/>
        <v>125254.96376464129</v>
      </c>
      <c r="D317" s="74">
        <f t="shared" si="26"/>
        <v>2684.1081150606951</v>
      </c>
      <c r="E317" s="74">
        <f t="shared" si="27"/>
        <v>521.895682352672</v>
      </c>
      <c r="F317" s="74">
        <f t="shared" si="28"/>
        <v>2162.2124327080232</v>
      </c>
      <c r="G317" s="74">
        <f t="shared" si="29"/>
        <v>123092.75133193326</v>
      </c>
    </row>
    <row r="318" spans="2:7" x14ac:dyDescent="0.25">
      <c r="B318" s="18">
        <f t="shared" si="24"/>
        <v>310</v>
      </c>
      <c r="C318" s="74">
        <f t="shared" si="25"/>
        <v>123092.75133193326</v>
      </c>
      <c r="D318" s="74">
        <f t="shared" si="26"/>
        <v>2684.1081150606951</v>
      </c>
      <c r="E318" s="74">
        <f t="shared" si="27"/>
        <v>512.88646388305528</v>
      </c>
      <c r="F318" s="74">
        <f t="shared" si="28"/>
        <v>2171.2216511776396</v>
      </c>
      <c r="G318" s="74">
        <f t="shared" si="29"/>
        <v>120921.52968075563</v>
      </c>
    </row>
    <row r="319" spans="2:7" x14ac:dyDescent="0.25">
      <c r="B319" s="18">
        <f t="shared" si="24"/>
        <v>311</v>
      </c>
      <c r="C319" s="74">
        <f t="shared" si="25"/>
        <v>120921.52968075563</v>
      </c>
      <c r="D319" s="74">
        <f t="shared" si="26"/>
        <v>2684.1081150606951</v>
      </c>
      <c r="E319" s="74">
        <f t="shared" si="27"/>
        <v>503.83970700314848</v>
      </c>
      <c r="F319" s="74">
        <f t="shared" si="28"/>
        <v>2180.2684080575468</v>
      </c>
      <c r="G319" s="74">
        <f t="shared" si="29"/>
        <v>118741.26127269809</v>
      </c>
    </row>
    <row r="320" spans="2:7" x14ac:dyDescent="0.25">
      <c r="B320" s="18">
        <f t="shared" si="24"/>
        <v>312</v>
      </c>
      <c r="C320" s="74">
        <f t="shared" si="25"/>
        <v>118741.26127269809</v>
      </c>
      <c r="D320" s="74">
        <f t="shared" si="26"/>
        <v>2684.1081150606951</v>
      </c>
      <c r="E320" s="74">
        <f t="shared" si="27"/>
        <v>494.75525530290878</v>
      </c>
      <c r="F320" s="74">
        <f t="shared" si="28"/>
        <v>2189.3528597577865</v>
      </c>
      <c r="G320" s="74">
        <f t="shared" si="29"/>
        <v>116551.90841294031</v>
      </c>
    </row>
    <row r="321" spans="2:7" x14ac:dyDescent="0.25">
      <c r="B321" s="18">
        <f t="shared" si="24"/>
        <v>313</v>
      </c>
      <c r="C321" s="74">
        <f t="shared" si="25"/>
        <v>116551.90841294031</v>
      </c>
      <c r="D321" s="74">
        <f t="shared" si="26"/>
        <v>2684.1081150606951</v>
      </c>
      <c r="E321" s="74">
        <f t="shared" si="27"/>
        <v>485.63295172058469</v>
      </c>
      <c r="F321" s="74">
        <f t="shared" si="28"/>
        <v>2198.4751633401106</v>
      </c>
      <c r="G321" s="74">
        <f t="shared" si="29"/>
        <v>114353.43324960019</v>
      </c>
    </row>
    <row r="322" spans="2:7" x14ac:dyDescent="0.25">
      <c r="B322" s="18">
        <f t="shared" si="24"/>
        <v>314</v>
      </c>
      <c r="C322" s="74">
        <f t="shared" si="25"/>
        <v>114353.43324960019</v>
      </c>
      <c r="D322" s="74">
        <f t="shared" si="26"/>
        <v>2684.1081150606951</v>
      </c>
      <c r="E322" s="74">
        <f t="shared" si="27"/>
        <v>476.47263854000084</v>
      </c>
      <c r="F322" s="74">
        <f t="shared" si="28"/>
        <v>2207.6354765206943</v>
      </c>
      <c r="G322" s="74">
        <f t="shared" si="29"/>
        <v>112145.7977730795</v>
      </c>
    </row>
    <row r="323" spans="2:7" x14ac:dyDescent="0.25">
      <c r="B323" s="18">
        <f t="shared" si="24"/>
        <v>315</v>
      </c>
      <c r="C323" s="74">
        <f t="shared" si="25"/>
        <v>112145.7977730795</v>
      </c>
      <c r="D323" s="74">
        <f t="shared" si="26"/>
        <v>2684.1081150606951</v>
      </c>
      <c r="E323" s="74">
        <f t="shared" si="27"/>
        <v>467.27415738783128</v>
      </c>
      <c r="F323" s="74">
        <f t="shared" si="28"/>
        <v>2216.833957672864</v>
      </c>
      <c r="G323" s="74">
        <f t="shared" si="29"/>
        <v>109928.96381540663</v>
      </c>
    </row>
    <row r="324" spans="2:7" x14ac:dyDescent="0.25">
      <c r="B324" s="18">
        <f t="shared" si="24"/>
        <v>316</v>
      </c>
      <c r="C324" s="74">
        <f t="shared" si="25"/>
        <v>109928.96381540663</v>
      </c>
      <c r="D324" s="74">
        <f t="shared" si="26"/>
        <v>2684.1081150606951</v>
      </c>
      <c r="E324" s="74">
        <f t="shared" si="27"/>
        <v>458.03734923086103</v>
      </c>
      <c r="F324" s="74">
        <f t="shared" si="28"/>
        <v>2226.0707658298343</v>
      </c>
      <c r="G324" s="74">
        <f t="shared" si="29"/>
        <v>107702.8930495768</v>
      </c>
    </row>
    <row r="325" spans="2:7" x14ac:dyDescent="0.25">
      <c r="B325" s="18">
        <f t="shared" si="24"/>
        <v>317</v>
      </c>
      <c r="C325" s="74">
        <f t="shared" si="25"/>
        <v>107702.8930495768</v>
      </c>
      <c r="D325" s="74">
        <f t="shared" si="26"/>
        <v>2684.1081150606951</v>
      </c>
      <c r="E325" s="74">
        <f t="shared" si="27"/>
        <v>448.76205437323671</v>
      </c>
      <c r="F325" s="74">
        <f t="shared" si="28"/>
        <v>2235.3460606874582</v>
      </c>
      <c r="G325" s="74">
        <f t="shared" si="29"/>
        <v>105467.54698888934</v>
      </c>
    </row>
    <row r="326" spans="2:7" x14ac:dyDescent="0.25">
      <c r="B326" s="18">
        <f t="shared" si="24"/>
        <v>318</v>
      </c>
      <c r="C326" s="74">
        <f t="shared" si="25"/>
        <v>105467.54698888934</v>
      </c>
      <c r="D326" s="74">
        <f t="shared" si="26"/>
        <v>2684.1081150606951</v>
      </c>
      <c r="E326" s="74">
        <f t="shared" si="27"/>
        <v>439.44811245370562</v>
      </c>
      <c r="F326" s="74">
        <f t="shared" si="28"/>
        <v>2244.6600026069896</v>
      </c>
      <c r="G326" s="74">
        <f t="shared" si="29"/>
        <v>103222.88698628235</v>
      </c>
    </row>
    <row r="327" spans="2:7" x14ac:dyDescent="0.25">
      <c r="B327" s="18">
        <f t="shared" si="24"/>
        <v>319</v>
      </c>
      <c r="C327" s="74">
        <f t="shared" si="25"/>
        <v>103222.88698628235</v>
      </c>
      <c r="D327" s="74">
        <f t="shared" si="26"/>
        <v>2684.1081150606951</v>
      </c>
      <c r="E327" s="74">
        <f t="shared" si="27"/>
        <v>430.09536244284317</v>
      </c>
      <c r="F327" s="74">
        <f t="shared" si="28"/>
        <v>2254.0127526178521</v>
      </c>
      <c r="G327" s="74">
        <f t="shared" si="29"/>
        <v>100968.87423366449</v>
      </c>
    </row>
    <row r="328" spans="2:7" x14ac:dyDescent="0.25">
      <c r="B328" s="18">
        <f t="shared" si="24"/>
        <v>320</v>
      </c>
      <c r="C328" s="74">
        <f t="shared" si="25"/>
        <v>100968.87423366449</v>
      </c>
      <c r="D328" s="74">
        <f t="shared" si="26"/>
        <v>2684.1081150606951</v>
      </c>
      <c r="E328" s="74">
        <f t="shared" si="27"/>
        <v>420.70364264026875</v>
      </c>
      <c r="F328" s="74">
        <f t="shared" si="28"/>
        <v>2263.4044724204264</v>
      </c>
      <c r="G328" s="74">
        <f t="shared" si="29"/>
        <v>98705.469761244065</v>
      </c>
    </row>
    <row r="329" spans="2:7" x14ac:dyDescent="0.25">
      <c r="B329" s="18">
        <f t="shared" si="24"/>
        <v>321</v>
      </c>
      <c r="C329" s="74">
        <f t="shared" si="25"/>
        <v>98705.469761244065</v>
      </c>
      <c r="D329" s="74">
        <f t="shared" si="26"/>
        <v>2684.1081150606951</v>
      </c>
      <c r="E329" s="74">
        <f t="shared" si="27"/>
        <v>411.27279067185032</v>
      </c>
      <c r="F329" s="74">
        <f t="shared" si="28"/>
        <v>2272.835324388845</v>
      </c>
      <c r="G329" s="74">
        <f t="shared" si="29"/>
        <v>96432.634436855224</v>
      </c>
    </row>
    <row r="330" spans="2:7" x14ac:dyDescent="0.25">
      <c r="B330" s="18">
        <f t="shared" si="24"/>
        <v>322</v>
      </c>
      <c r="C330" s="74">
        <f t="shared" si="25"/>
        <v>96432.634436855224</v>
      </c>
      <c r="D330" s="74">
        <f t="shared" si="26"/>
        <v>2684.1081150606951</v>
      </c>
      <c r="E330" s="74">
        <f t="shared" si="27"/>
        <v>401.80264348689678</v>
      </c>
      <c r="F330" s="74">
        <f t="shared" si="28"/>
        <v>2282.3054715737985</v>
      </c>
      <c r="G330" s="74">
        <f t="shared" si="29"/>
        <v>94150.328965281427</v>
      </c>
    </row>
    <row r="331" spans="2:7" x14ac:dyDescent="0.25">
      <c r="B331" s="18">
        <f t="shared" ref="B331:B368" si="30">B330+1</f>
        <v>323</v>
      </c>
      <c r="C331" s="74">
        <f t="shared" ref="C331:C368" si="31">G330</f>
        <v>94150.328965281427</v>
      </c>
      <c r="D331" s="74">
        <f t="shared" ref="D331:D368" si="32">D330</f>
        <v>2684.1081150606951</v>
      </c>
      <c r="E331" s="74">
        <f t="shared" ref="E331:E368" si="33">$C$4*C331/12</f>
        <v>392.29303735533927</v>
      </c>
      <c r="F331" s="74">
        <f t="shared" ref="F331:F368" si="34">D331-E331</f>
        <v>2291.8150777053561</v>
      </c>
      <c r="G331" s="74">
        <f t="shared" ref="G331:G368" si="35">C331-F331</f>
        <v>91858.513887576075</v>
      </c>
    </row>
    <row r="332" spans="2:7" x14ac:dyDescent="0.25">
      <c r="B332" s="18">
        <f t="shared" si="30"/>
        <v>324</v>
      </c>
      <c r="C332" s="74">
        <f t="shared" si="31"/>
        <v>91858.513887576075</v>
      </c>
      <c r="D332" s="74">
        <f t="shared" si="32"/>
        <v>2684.1081150606951</v>
      </c>
      <c r="E332" s="74">
        <f t="shared" si="33"/>
        <v>382.74380786490036</v>
      </c>
      <c r="F332" s="74">
        <f t="shared" si="34"/>
        <v>2301.3643071957949</v>
      </c>
      <c r="G332" s="74">
        <f t="shared" si="35"/>
        <v>89557.149580380283</v>
      </c>
    </row>
    <row r="333" spans="2:7" x14ac:dyDescent="0.25">
      <c r="B333" s="18">
        <f t="shared" si="30"/>
        <v>325</v>
      </c>
      <c r="C333" s="74">
        <f t="shared" si="31"/>
        <v>89557.149580380283</v>
      </c>
      <c r="D333" s="74">
        <f t="shared" si="32"/>
        <v>2684.1081150606951</v>
      </c>
      <c r="E333" s="74">
        <f t="shared" si="33"/>
        <v>373.1547899182512</v>
      </c>
      <c r="F333" s="74">
        <f t="shared" si="34"/>
        <v>2310.9533251424441</v>
      </c>
      <c r="G333" s="74">
        <f t="shared" si="35"/>
        <v>87246.196255237839</v>
      </c>
    </row>
    <row r="334" spans="2:7" x14ac:dyDescent="0.25">
      <c r="B334" s="18">
        <f t="shared" si="30"/>
        <v>326</v>
      </c>
      <c r="C334" s="74">
        <f t="shared" si="31"/>
        <v>87246.196255237839</v>
      </c>
      <c r="D334" s="74">
        <f t="shared" si="32"/>
        <v>2684.1081150606951</v>
      </c>
      <c r="E334" s="74">
        <f t="shared" si="33"/>
        <v>363.52581773015771</v>
      </c>
      <c r="F334" s="74">
        <f t="shared" si="34"/>
        <v>2320.5822973305376</v>
      </c>
      <c r="G334" s="74">
        <f t="shared" si="35"/>
        <v>84925.613957907306</v>
      </c>
    </row>
    <row r="335" spans="2:7" x14ac:dyDescent="0.25">
      <c r="B335" s="18">
        <f t="shared" si="30"/>
        <v>327</v>
      </c>
      <c r="C335" s="74">
        <f t="shared" si="31"/>
        <v>84925.613957907306</v>
      </c>
      <c r="D335" s="74">
        <f t="shared" si="32"/>
        <v>2684.1081150606951</v>
      </c>
      <c r="E335" s="74">
        <f t="shared" si="33"/>
        <v>353.85672482461382</v>
      </c>
      <c r="F335" s="74">
        <f t="shared" si="34"/>
        <v>2330.2513902360815</v>
      </c>
      <c r="G335" s="74">
        <f t="shared" si="35"/>
        <v>82595.362567671225</v>
      </c>
    </row>
    <row r="336" spans="2:7" x14ac:dyDescent="0.25">
      <c r="B336" s="18">
        <f t="shared" si="30"/>
        <v>328</v>
      </c>
      <c r="C336" s="74">
        <f t="shared" si="31"/>
        <v>82595.362567671225</v>
      </c>
      <c r="D336" s="74">
        <f t="shared" si="32"/>
        <v>2684.1081150606951</v>
      </c>
      <c r="E336" s="74">
        <f t="shared" si="33"/>
        <v>344.14734403196348</v>
      </c>
      <c r="F336" s="74">
        <f t="shared" si="34"/>
        <v>2339.9607710287319</v>
      </c>
      <c r="G336" s="74">
        <f t="shared" si="35"/>
        <v>80255.401796642487</v>
      </c>
    </row>
    <row r="337" spans="2:7" x14ac:dyDescent="0.25">
      <c r="B337" s="18">
        <f t="shared" si="30"/>
        <v>329</v>
      </c>
      <c r="C337" s="74">
        <f t="shared" si="31"/>
        <v>80255.401796642487</v>
      </c>
      <c r="D337" s="74">
        <f t="shared" si="32"/>
        <v>2684.1081150606951</v>
      </c>
      <c r="E337" s="74">
        <f t="shared" si="33"/>
        <v>334.3975074860104</v>
      </c>
      <c r="F337" s="74">
        <f t="shared" si="34"/>
        <v>2349.7106075746847</v>
      </c>
      <c r="G337" s="74">
        <f t="shared" si="35"/>
        <v>77905.691189067802</v>
      </c>
    </row>
    <row r="338" spans="2:7" x14ac:dyDescent="0.25">
      <c r="B338" s="18">
        <f t="shared" si="30"/>
        <v>330</v>
      </c>
      <c r="C338" s="74">
        <f t="shared" si="31"/>
        <v>77905.691189067802</v>
      </c>
      <c r="D338" s="74">
        <f t="shared" si="32"/>
        <v>2684.1081150606951</v>
      </c>
      <c r="E338" s="74">
        <f t="shared" si="33"/>
        <v>324.60704662111584</v>
      </c>
      <c r="F338" s="74">
        <f t="shared" si="34"/>
        <v>2359.5010684395793</v>
      </c>
      <c r="G338" s="74">
        <f t="shared" si="35"/>
        <v>75546.19012062822</v>
      </c>
    </row>
    <row r="339" spans="2:7" x14ac:dyDescent="0.25">
      <c r="B339" s="18">
        <f t="shared" si="30"/>
        <v>331</v>
      </c>
      <c r="C339" s="74">
        <f t="shared" si="31"/>
        <v>75546.19012062822</v>
      </c>
      <c r="D339" s="74">
        <f t="shared" si="32"/>
        <v>2684.1081150606951</v>
      </c>
      <c r="E339" s="74">
        <f t="shared" si="33"/>
        <v>314.77579216928427</v>
      </c>
      <c r="F339" s="74">
        <f t="shared" si="34"/>
        <v>2369.332322891411</v>
      </c>
      <c r="G339" s="74">
        <f t="shared" si="35"/>
        <v>73176.857797736811</v>
      </c>
    </row>
    <row r="340" spans="2:7" x14ac:dyDescent="0.25">
      <c r="B340" s="18">
        <f t="shared" si="30"/>
        <v>332</v>
      </c>
      <c r="C340" s="74">
        <f t="shared" si="31"/>
        <v>73176.857797736811</v>
      </c>
      <c r="D340" s="74">
        <f t="shared" si="32"/>
        <v>2684.1081150606951</v>
      </c>
      <c r="E340" s="74">
        <f t="shared" si="33"/>
        <v>304.90357415723673</v>
      </c>
      <c r="F340" s="74">
        <f t="shared" si="34"/>
        <v>2379.2045409034586</v>
      </c>
      <c r="G340" s="74">
        <f t="shared" si="35"/>
        <v>70797.65325683335</v>
      </c>
    </row>
    <row r="341" spans="2:7" x14ac:dyDescent="0.25">
      <c r="B341" s="18">
        <f t="shared" si="30"/>
        <v>333</v>
      </c>
      <c r="C341" s="74">
        <f t="shared" si="31"/>
        <v>70797.65325683335</v>
      </c>
      <c r="D341" s="74">
        <f t="shared" si="32"/>
        <v>2684.1081150606951</v>
      </c>
      <c r="E341" s="74">
        <f t="shared" si="33"/>
        <v>294.99022190347233</v>
      </c>
      <c r="F341" s="74">
        <f t="shared" si="34"/>
        <v>2389.1178931572226</v>
      </c>
      <c r="G341" s="74">
        <f t="shared" si="35"/>
        <v>68408.535363676128</v>
      </c>
    </row>
    <row r="342" spans="2:7" x14ac:dyDescent="0.25">
      <c r="B342" s="18">
        <f t="shared" si="30"/>
        <v>334</v>
      </c>
      <c r="C342" s="74">
        <f t="shared" si="31"/>
        <v>68408.535363676128</v>
      </c>
      <c r="D342" s="74">
        <f t="shared" si="32"/>
        <v>2684.1081150606951</v>
      </c>
      <c r="E342" s="74">
        <f t="shared" si="33"/>
        <v>285.03556401531722</v>
      </c>
      <c r="F342" s="74">
        <f t="shared" si="34"/>
        <v>2399.0725510453781</v>
      </c>
      <c r="G342" s="74">
        <f t="shared" si="35"/>
        <v>66009.462812630751</v>
      </c>
    </row>
    <row r="343" spans="2:7" x14ac:dyDescent="0.25">
      <c r="B343" s="18">
        <f t="shared" si="30"/>
        <v>335</v>
      </c>
      <c r="C343" s="74">
        <f t="shared" si="31"/>
        <v>66009.462812630751</v>
      </c>
      <c r="D343" s="74">
        <f t="shared" si="32"/>
        <v>2684.1081150606951</v>
      </c>
      <c r="E343" s="74">
        <f t="shared" si="33"/>
        <v>275.03942838596146</v>
      </c>
      <c r="F343" s="74">
        <f t="shared" si="34"/>
        <v>2409.0686866747337</v>
      </c>
      <c r="G343" s="74">
        <f t="shared" si="35"/>
        <v>63600.394125956016</v>
      </c>
    </row>
    <row r="344" spans="2:7" x14ac:dyDescent="0.25">
      <c r="B344" s="18">
        <f t="shared" si="30"/>
        <v>336</v>
      </c>
      <c r="C344" s="74">
        <f t="shared" si="31"/>
        <v>63600.394125956016</v>
      </c>
      <c r="D344" s="74">
        <f t="shared" si="32"/>
        <v>2684.1081150606951</v>
      </c>
      <c r="E344" s="74">
        <f t="shared" si="33"/>
        <v>265.00164219148343</v>
      </c>
      <c r="F344" s="74">
        <f t="shared" si="34"/>
        <v>2419.1064728692118</v>
      </c>
      <c r="G344" s="74">
        <f t="shared" si="35"/>
        <v>61181.287653086802</v>
      </c>
    </row>
    <row r="345" spans="2:7" x14ac:dyDescent="0.25">
      <c r="B345" s="18">
        <f t="shared" si="30"/>
        <v>337</v>
      </c>
      <c r="C345" s="74">
        <f t="shared" si="31"/>
        <v>61181.287653086802</v>
      </c>
      <c r="D345" s="74">
        <f t="shared" si="32"/>
        <v>2684.1081150606951</v>
      </c>
      <c r="E345" s="74">
        <f t="shared" si="33"/>
        <v>254.92203188786166</v>
      </c>
      <c r="F345" s="74">
        <f t="shared" si="34"/>
        <v>2429.1860831728336</v>
      </c>
      <c r="G345" s="74">
        <f t="shared" si="35"/>
        <v>58752.101569913968</v>
      </c>
    </row>
    <row r="346" spans="2:7" x14ac:dyDescent="0.25">
      <c r="B346" s="18">
        <f t="shared" si="30"/>
        <v>338</v>
      </c>
      <c r="C346" s="74">
        <f t="shared" si="31"/>
        <v>58752.101569913968</v>
      </c>
      <c r="D346" s="74">
        <f t="shared" si="32"/>
        <v>2684.1081150606951</v>
      </c>
      <c r="E346" s="74">
        <f t="shared" si="33"/>
        <v>244.80042320797489</v>
      </c>
      <c r="F346" s="74">
        <f t="shared" si="34"/>
        <v>2439.3076918527204</v>
      </c>
      <c r="G346" s="74">
        <f t="shared" si="35"/>
        <v>56312.793878061246</v>
      </c>
    </row>
    <row r="347" spans="2:7" x14ac:dyDescent="0.25">
      <c r="B347" s="18">
        <f t="shared" si="30"/>
        <v>339</v>
      </c>
      <c r="C347" s="74">
        <f t="shared" si="31"/>
        <v>56312.793878061246</v>
      </c>
      <c r="D347" s="74">
        <f t="shared" si="32"/>
        <v>2684.1081150606951</v>
      </c>
      <c r="E347" s="74">
        <f t="shared" si="33"/>
        <v>234.63664115858853</v>
      </c>
      <c r="F347" s="74">
        <f t="shared" si="34"/>
        <v>2449.4714739021065</v>
      </c>
      <c r="G347" s="74">
        <f t="shared" si="35"/>
        <v>53863.322404159138</v>
      </c>
    </row>
    <row r="348" spans="2:7" x14ac:dyDescent="0.25">
      <c r="B348" s="18">
        <f t="shared" si="30"/>
        <v>340</v>
      </c>
      <c r="C348" s="74">
        <f t="shared" si="31"/>
        <v>53863.322404159138</v>
      </c>
      <c r="D348" s="74">
        <f t="shared" si="32"/>
        <v>2684.1081150606951</v>
      </c>
      <c r="E348" s="74">
        <f t="shared" si="33"/>
        <v>224.43051001732977</v>
      </c>
      <c r="F348" s="74">
        <f t="shared" si="34"/>
        <v>2459.6776050433655</v>
      </c>
      <c r="G348" s="74">
        <f t="shared" si="35"/>
        <v>51403.644799115777</v>
      </c>
    </row>
    <row r="349" spans="2:7" x14ac:dyDescent="0.25">
      <c r="B349" s="18">
        <f t="shared" si="30"/>
        <v>341</v>
      </c>
      <c r="C349" s="74">
        <f t="shared" si="31"/>
        <v>51403.644799115777</v>
      </c>
      <c r="D349" s="74">
        <f t="shared" si="32"/>
        <v>2684.1081150606951</v>
      </c>
      <c r="E349" s="74">
        <f t="shared" si="33"/>
        <v>214.1818533296491</v>
      </c>
      <c r="F349" s="74">
        <f t="shared" si="34"/>
        <v>2469.926261731046</v>
      </c>
      <c r="G349" s="74">
        <f t="shared" si="35"/>
        <v>48933.718537384731</v>
      </c>
    </row>
    <row r="350" spans="2:7" x14ac:dyDescent="0.25">
      <c r="B350" s="18">
        <f t="shared" si="30"/>
        <v>342</v>
      </c>
      <c r="C350" s="74">
        <f t="shared" si="31"/>
        <v>48933.718537384731</v>
      </c>
      <c r="D350" s="74">
        <f t="shared" si="32"/>
        <v>2684.1081150606951</v>
      </c>
      <c r="E350" s="74">
        <f t="shared" si="33"/>
        <v>203.89049390576972</v>
      </c>
      <c r="F350" s="74">
        <f t="shared" si="34"/>
        <v>2480.2176211549254</v>
      </c>
      <c r="G350" s="74">
        <f t="shared" si="35"/>
        <v>46453.500916229808</v>
      </c>
    </row>
    <row r="351" spans="2:7" x14ac:dyDescent="0.25">
      <c r="B351" s="18">
        <f t="shared" si="30"/>
        <v>343</v>
      </c>
      <c r="C351" s="74">
        <f t="shared" si="31"/>
        <v>46453.500916229808</v>
      </c>
      <c r="D351" s="74">
        <f t="shared" si="32"/>
        <v>2684.1081150606951</v>
      </c>
      <c r="E351" s="74">
        <f t="shared" si="33"/>
        <v>193.55625381762422</v>
      </c>
      <c r="F351" s="74">
        <f t="shared" si="34"/>
        <v>2490.551861243071</v>
      </c>
      <c r="G351" s="74">
        <f t="shared" si="35"/>
        <v>43962.949054986741</v>
      </c>
    </row>
    <row r="352" spans="2:7" x14ac:dyDescent="0.25">
      <c r="B352" s="18">
        <f t="shared" si="30"/>
        <v>344</v>
      </c>
      <c r="C352" s="74">
        <f t="shared" si="31"/>
        <v>43962.949054986741</v>
      </c>
      <c r="D352" s="74">
        <f t="shared" si="32"/>
        <v>2684.1081150606951</v>
      </c>
      <c r="E352" s="74">
        <f t="shared" si="33"/>
        <v>183.17895439577808</v>
      </c>
      <c r="F352" s="74">
        <f t="shared" si="34"/>
        <v>2500.9291606649172</v>
      </c>
      <c r="G352" s="74">
        <f t="shared" si="35"/>
        <v>41462.01989432182</v>
      </c>
    </row>
    <row r="353" spans="2:7" x14ac:dyDescent="0.25">
      <c r="B353" s="18">
        <f t="shared" si="30"/>
        <v>345</v>
      </c>
      <c r="C353" s="74">
        <f t="shared" si="31"/>
        <v>41462.01989432182</v>
      </c>
      <c r="D353" s="74">
        <f t="shared" si="32"/>
        <v>2684.1081150606951</v>
      </c>
      <c r="E353" s="74">
        <f t="shared" si="33"/>
        <v>172.75841622634093</v>
      </c>
      <c r="F353" s="74">
        <f t="shared" si="34"/>
        <v>2511.3496988343541</v>
      </c>
      <c r="G353" s="74">
        <f t="shared" si="35"/>
        <v>38950.670195487466</v>
      </c>
    </row>
    <row r="354" spans="2:7" x14ac:dyDescent="0.25">
      <c r="B354" s="18">
        <f t="shared" si="30"/>
        <v>346</v>
      </c>
      <c r="C354" s="74">
        <f t="shared" si="31"/>
        <v>38950.670195487466</v>
      </c>
      <c r="D354" s="74">
        <f t="shared" si="32"/>
        <v>2684.1081150606951</v>
      </c>
      <c r="E354" s="74">
        <f t="shared" si="33"/>
        <v>162.29445914786444</v>
      </c>
      <c r="F354" s="74">
        <f t="shared" si="34"/>
        <v>2521.8136559128307</v>
      </c>
      <c r="G354" s="74">
        <f t="shared" si="35"/>
        <v>36428.856539574634</v>
      </c>
    </row>
    <row r="355" spans="2:7" x14ac:dyDescent="0.25">
      <c r="B355" s="18">
        <f t="shared" si="30"/>
        <v>347</v>
      </c>
      <c r="C355" s="74">
        <f t="shared" si="31"/>
        <v>36428.856539574634</v>
      </c>
      <c r="D355" s="74">
        <f t="shared" si="32"/>
        <v>2684.1081150606951</v>
      </c>
      <c r="E355" s="74">
        <f t="shared" si="33"/>
        <v>151.78690224822765</v>
      </c>
      <c r="F355" s="74">
        <f t="shared" si="34"/>
        <v>2532.3212128124674</v>
      </c>
      <c r="G355" s="74">
        <f t="shared" si="35"/>
        <v>33896.535326762169</v>
      </c>
    </row>
    <row r="356" spans="2:7" x14ac:dyDescent="0.25">
      <c r="B356" s="18">
        <f t="shared" si="30"/>
        <v>348</v>
      </c>
      <c r="C356" s="74">
        <f t="shared" si="31"/>
        <v>33896.535326762169</v>
      </c>
      <c r="D356" s="74">
        <f t="shared" si="32"/>
        <v>2684.1081150606951</v>
      </c>
      <c r="E356" s="74">
        <f t="shared" si="33"/>
        <v>141.23556386150904</v>
      </c>
      <c r="F356" s="74">
        <f t="shared" si="34"/>
        <v>2542.8725511991861</v>
      </c>
      <c r="G356" s="74">
        <f t="shared" si="35"/>
        <v>31353.662775562982</v>
      </c>
    </row>
    <row r="357" spans="2:7" x14ac:dyDescent="0.25">
      <c r="B357" s="18">
        <f t="shared" si="30"/>
        <v>349</v>
      </c>
      <c r="C357" s="74">
        <f t="shared" si="31"/>
        <v>31353.662775562982</v>
      </c>
      <c r="D357" s="74">
        <f t="shared" si="32"/>
        <v>2684.1081150606951</v>
      </c>
      <c r="E357" s="74">
        <f t="shared" si="33"/>
        <v>130.64026156484576</v>
      </c>
      <c r="F357" s="74">
        <f t="shared" si="34"/>
        <v>2553.4678534958493</v>
      </c>
      <c r="G357" s="74">
        <f t="shared" si="35"/>
        <v>28800.19492206713</v>
      </c>
    </row>
    <row r="358" spans="2:7" x14ac:dyDescent="0.25">
      <c r="B358" s="18">
        <f t="shared" si="30"/>
        <v>350</v>
      </c>
      <c r="C358" s="74">
        <f t="shared" si="31"/>
        <v>28800.19492206713</v>
      </c>
      <c r="D358" s="74">
        <f t="shared" si="32"/>
        <v>2684.1081150606951</v>
      </c>
      <c r="E358" s="74">
        <f t="shared" si="33"/>
        <v>120.00081217527971</v>
      </c>
      <c r="F358" s="74">
        <f t="shared" si="34"/>
        <v>2564.1073028854153</v>
      </c>
      <c r="G358" s="74">
        <f t="shared" si="35"/>
        <v>26236.087619181715</v>
      </c>
    </row>
    <row r="359" spans="2:7" x14ac:dyDescent="0.25">
      <c r="B359" s="18">
        <f t="shared" si="30"/>
        <v>351</v>
      </c>
      <c r="C359" s="74">
        <f t="shared" si="31"/>
        <v>26236.087619181715</v>
      </c>
      <c r="D359" s="74">
        <f t="shared" si="32"/>
        <v>2684.1081150606951</v>
      </c>
      <c r="E359" s="74">
        <f t="shared" si="33"/>
        <v>109.31703174659049</v>
      </c>
      <c r="F359" s="74">
        <f t="shared" si="34"/>
        <v>2574.7910833141045</v>
      </c>
      <c r="G359" s="74">
        <f t="shared" si="35"/>
        <v>23661.296535867612</v>
      </c>
    </row>
    <row r="360" spans="2:7" x14ac:dyDescent="0.25">
      <c r="B360" s="18">
        <f t="shared" si="30"/>
        <v>352</v>
      </c>
      <c r="C360" s="74">
        <f t="shared" si="31"/>
        <v>23661.296535867612</v>
      </c>
      <c r="D360" s="74">
        <f t="shared" si="32"/>
        <v>2684.1081150606951</v>
      </c>
      <c r="E360" s="74">
        <f t="shared" si="33"/>
        <v>98.588735566115062</v>
      </c>
      <c r="F360" s="74">
        <f t="shared" si="34"/>
        <v>2585.5193794945799</v>
      </c>
      <c r="G360" s="74">
        <f t="shared" si="35"/>
        <v>21075.777156373031</v>
      </c>
    </row>
    <row r="361" spans="2:7" x14ac:dyDescent="0.25">
      <c r="B361" s="18">
        <f t="shared" si="30"/>
        <v>353</v>
      </c>
      <c r="C361" s="74">
        <f t="shared" si="31"/>
        <v>21075.777156373031</v>
      </c>
      <c r="D361" s="74">
        <f t="shared" si="32"/>
        <v>2684.1081150606951</v>
      </c>
      <c r="E361" s="74">
        <f t="shared" si="33"/>
        <v>87.815738151554299</v>
      </c>
      <c r="F361" s="74">
        <f t="shared" si="34"/>
        <v>2596.2923769091408</v>
      </c>
      <c r="G361" s="74">
        <f t="shared" si="35"/>
        <v>18479.484779463892</v>
      </c>
    </row>
    <row r="362" spans="2:7" x14ac:dyDescent="0.25">
      <c r="B362" s="18">
        <f t="shared" si="30"/>
        <v>354</v>
      </c>
      <c r="C362" s="74">
        <f t="shared" si="31"/>
        <v>18479.484779463892</v>
      </c>
      <c r="D362" s="74">
        <f t="shared" si="32"/>
        <v>2684.1081150606951</v>
      </c>
      <c r="E362" s="74">
        <f t="shared" si="33"/>
        <v>76.997853247766216</v>
      </c>
      <c r="F362" s="74">
        <f t="shared" si="34"/>
        <v>2607.1102618129289</v>
      </c>
      <c r="G362" s="74">
        <f t="shared" si="35"/>
        <v>15872.374517650962</v>
      </c>
    </row>
    <row r="363" spans="2:7" x14ac:dyDescent="0.25">
      <c r="B363" s="18">
        <f t="shared" si="30"/>
        <v>355</v>
      </c>
      <c r="C363" s="74">
        <f t="shared" si="31"/>
        <v>15872.374517650962</v>
      </c>
      <c r="D363" s="74">
        <f t="shared" si="32"/>
        <v>2684.1081150606951</v>
      </c>
      <c r="E363" s="74">
        <f t="shared" si="33"/>
        <v>66.134893823545681</v>
      </c>
      <c r="F363" s="74">
        <f t="shared" si="34"/>
        <v>2617.9732212371496</v>
      </c>
      <c r="G363" s="74">
        <f t="shared" si="35"/>
        <v>13254.401296413813</v>
      </c>
    </row>
    <row r="364" spans="2:7" x14ac:dyDescent="0.25">
      <c r="B364" s="18">
        <f t="shared" si="30"/>
        <v>356</v>
      </c>
      <c r="C364" s="74">
        <f t="shared" si="31"/>
        <v>13254.401296413813</v>
      </c>
      <c r="D364" s="74">
        <f t="shared" si="32"/>
        <v>2684.1081150606951</v>
      </c>
      <c r="E364" s="74">
        <f t="shared" si="33"/>
        <v>55.22667206839089</v>
      </c>
      <c r="F364" s="74">
        <f t="shared" si="34"/>
        <v>2628.8814429923041</v>
      </c>
      <c r="G364" s="74">
        <f t="shared" si="35"/>
        <v>10625.519853421509</v>
      </c>
    </row>
    <row r="365" spans="2:7" x14ac:dyDescent="0.25">
      <c r="B365" s="18">
        <f t="shared" si="30"/>
        <v>357</v>
      </c>
      <c r="C365" s="74">
        <f t="shared" si="31"/>
        <v>10625.519853421509</v>
      </c>
      <c r="D365" s="74">
        <f t="shared" si="32"/>
        <v>2684.1081150606951</v>
      </c>
      <c r="E365" s="74">
        <f t="shared" si="33"/>
        <v>44.272999389256285</v>
      </c>
      <c r="F365" s="74">
        <f t="shared" si="34"/>
        <v>2639.8351156714389</v>
      </c>
      <c r="G365" s="74">
        <f t="shared" si="35"/>
        <v>7985.6847377500699</v>
      </c>
    </row>
    <row r="366" spans="2:7" x14ac:dyDescent="0.25">
      <c r="B366" s="18">
        <f t="shared" si="30"/>
        <v>358</v>
      </c>
      <c r="C366" s="74">
        <f t="shared" si="31"/>
        <v>7985.6847377500699</v>
      </c>
      <c r="D366" s="74">
        <f t="shared" si="32"/>
        <v>2684.1081150606951</v>
      </c>
      <c r="E366" s="74">
        <f t="shared" si="33"/>
        <v>33.273686407291962</v>
      </c>
      <c r="F366" s="74">
        <f t="shared" si="34"/>
        <v>2650.8344286534029</v>
      </c>
      <c r="G366" s="74">
        <f t="shared" si="35"/>
        <v>5334.8503090966669</v>
      </c>
    </row>
    <row r="367" spans="2:7" x14ac:dyDescent="0.25">
      <c r="B367" s="18">
        <f t="shared" si="30"/>
        <v>359</v>
      </c>
      <c r="C367" s="74">
        <f t="shared" si="31"/>
        <v>5334.8503090966669</v>
      </c>
      <c r="D367" s="74">
        <f t="shared" si="32"/>
        <v>2684.1081150606951</v>
      </c>
      <c r="E367" s="74">
        <f t="shared" si="33"/>
        <v>22.228542954569448</v>
      </c>
      <c r="F367" s="74">
        <f t="shared" si="34"/>
        <v>2661.8795721061256</v>
      </c>
      <c r="G367" s="74">
        <f t="shared" si="35"/>
        <v>2672.9707369905414</v>
      </c>
    </row>
    <row r="368" spans="2:7" x14ac:dyDescent="0.25">
      <c r="B368" s="18">
        <f t="shared" si="30"/>
        <v>360</v>
      </c>
      <c r="C368" s="74">
        <f t="shared" si="31"/>
        <v>2672.9707369905414</v>
      </c>
      <c r="D368" s="74">
        <f t="shared" si="32"/>
        <v>2684.1081150606951</v>
      </c>
      <c r="E368" s="74">
        <f t="shared" si="33"/>
        <v>11.137378070793922</v>
      </c>
      <c r="F368" s="74">
        <f t="shared" si="34"/>
        <v>2672.9707369899011</v>
      </c>
      <c r="G368" s="74">
        <f t="shared" si="35"/>
        <v>6.4028427004814148E-10</v>
      </c>
    </row>
    <row r="370" spans="3:6" x14ac:dyDescent="0.25">
      <c r="C370" s="4" t="s">
        <v>189</v>
      </c>
      <c r="D370" s="139">
        <f>SUM(D9:D368)</f>
        <v>966278.92142185662</v>
      </c>
      <c r="E370" s="139">
        <f t="shared" ref="E370:F370" si="36">SUM(E9:E368)</f>
        <v>466278.92142185062</v>
      </c>
      <c r="F370" s="139">
        <f t="shared" si="36"/>
        <v>499999.99999999901</v>
      </c>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658BC-0A39-4312-8163-455B53B1B447}">
  <dimension ref="B2:H363"/>
  <sheetViews>
    <sheetView workbookViewId="0">
      <selection activeCell="C8" sqref="C8"/>
    </sheetView>
  </sheetViews>
  <sheetFormatPr defaultColWidth="9.109375" defaultRowHeight="13.8" x14ac:dyDescent="0.25"/>
  <cols>
    <col min="1" max="1" width="9.109375" style="3"/>
    <col min="2" max="3" width="9.33203125" style="3" bestFit="1" customWidth="1"/>
    <col min="4" max="4" width="11.6640625" style="3" bestFit="1" customWidth="1"/>
    <col min="5" max="5" width="9.33203125" style="3" bestFit="1" customWidth="1"/>
    <col min="6" max="6" width="11.6640625" style="3" bestFit="1" customWidth="1"/>
    <col min="7" max="7" width="9.33203125" style="3" bestFit="1" customWidth="1"/>
    <col min="8" max="8" width="11.6640625" style="3" bestFit="1" customWidth="1"/>
    <col min="9" max="16384" width="9.109375" style="3"/>
  </cols>
  <sheetData>
    <row r="2" spans="2:8" x14ac:dyDescent="0.25">
      <c r="C2" s="141">
        <v>0.06</v>
      </c>
      <c r="E2" s="18">
        <v>100</v>
      </c>
      <c r="G2" s="18">
        <v>200</v>
      </c>
    </row>
    <row r="3" spans="2:8" x14ac:dyDescent="0.25">
      <c r="B3" s="18" t="s">
        <v>183</v>
      </c>
      <c r="C3" s="18" t="s">
        <v>190</v>
      </c>
      <c r="D3" s="18" t="s">
        <v>191</v>
      </c>
      <c r="E3" s="18" t="s">
        <v>192</v>
      </c>
      <c r="F3" s="18" t="s">
        <v>191</v>
      </c>
      <c r="G3" s="18" t="s">
        <v>192</v>
      </c>
      <c r="H3" s="18" t="s">
        <v>191</v>
      </c>
    </row>
    <row r="4" spans="2:8" x14ac:dyDescent="0.25">
      <c r="B4" s="3">
        <v>1</v>
      </c>
      <c r="C4" s="9">
        <f>$C$2</f>
        <v>0.06</v>
      </c>
      <c r="D4" s="142">
        <f>1-(1-C4)^(1/12)</f>
        <v>5.1430128318229462E-3</v>
      </c>
      <c r="E4" s="9">
        <f>MIN((E$2/100)*0.06,(E$2/100)*0.06*$B4/30)</f>
        <v>2E-3</v>
      </c>
      <c r="F4" s="142">
        <f>1-(1-E4)^(1/12)</f>
        <v>1.6681963994558124E-4</v>
      </c>
      <c r="G4" s="9">
        <f>MIN((G$2/100)*0.06,(G$2/100)*0.06*$B4/30)</f>
        <v>4.0000000000000001E-3</v>
      </c>
      <c r="H4" s="142">
        <f>1-(1-G4)^(1/12)</f>
        <v>3.3394601074221431E-4</v>
      </c>
    </row>
    <row r="5" spans="2:8" x14ac:dyDescent="0.25">
      <c r="B5" s="3">
        <f>1+B4</f>
        <v>2</v>
      </c>
      <c r="C5" s="9">
        <f>C4</f>
        <v>0.06</v>
      </c>
      <c r="D5" s="142">
        <f t="shared" ref="D5:F68" si="0">1-(1-C5)^(1/12)</f>
        <v>5.1430128318229462E-3</v>
      </c>
      <c r="E5" s="9">
        <f t="shared" ref="E5:G68" si="1">MIN((E$2/100)*0.06,(E$2/100)*0.06*$B5/30)</f>
        <v>4.0000000000000001E-3</v>
      </c>
      <c r="F5" s="142">
        <f t="shared" si="0"/>
        <v>3.3394601074221431E-4</v>
      </c>
      <c r="G5" s="9">
        <f t="shared" si="1"/>
        <v>8.0000000000000002E-3</v>
      </c>
      <c r="H5" s="142">
        <f t="shared" ref="H5:H68" si="2">1-(1-G5)^(1/12)</f>
        <v>6.6912367827864916E-4</v>
      </c>
    </row>
    <row r="6" spans="2:8" x14ac:dyDescent="0.25">
      <c r="B6" s="3">
        <f t="shared" ref="B6:B69" si="3">1+B5</f>
        <v>3</v>
      </c>
      <c r="C6" s="9">
        <f t="shared" ref="C6:C69" si="4">C5</f>
        <v>0.06</v>
      </c>
      <c r="D6" s="142">
        <f t="shared" si="0"/>
        <v>5.1430128318229462E-3</v>
      </c>
      <c r="E6" s="9">
        <f t="shared" si="1"/>
        <v>6.0000000000000001E-3</v>
      </c>
      <c r="F6" s="142">
        <f t="shared" si="0"/>
        <v>5.0138029400215167E-4</v>
      </c>
      <c r="G6" s="9">
        <f t="shared" si="1"/>
        <v>1.2E-2</v>
      </c>
      <c r="H6" s="142">
        <f t="shared" si="2"/>
        <v>1.0055425391276573E-3</v>
      </c>
    </row>
    <row r="7" spans="2:8" x14ac:dyDescent="0.25">
      <c r="B7" s="3">
        <f t="shared" si="3"/>
        <v>4</v>
      </c>
      <c r="C7" s="9">
        <f t="shared" si="4"/>
        <v>0.06</v>
      </c>
      <c r="D7" s="142">
        <f t="shared" si="0"/>
        <v>5.1430128318229462E-3</v>
      </c>
      <c r="E7" s="9">
        <f t="shared" si="1"/>
        <v>8.0000000000000002E-3</v>
      </c>
      <c r="F7" s="142">
        <f t="shared" si="0"/>
        <v>6.6912367827864916E-4</v>
      </c>
      <c r="G7" s="9">
        <f t="shared" si="1"/>
        <v>1.6E-2</v>
      </c>
      <c r="H7" s="142">
        <f t="shared" si="2"/>
        <v>1.3432122426282334E-3</v>
      </c>
    </row>
    <row r="8" spans="2:8" x14ac:dyDescent="0.25">
      <c r="B8" s="3">
        <f t="shared" si="3"/>
        <v>5</v>
      </c>
      <c r="C8" s="9">
        <f t="shared" si="4"/>
        <v>0.06</v>
      </c>
      <c r="D8" s="142">
        <f t="shared" si="0"/>
        <v>5.1430128318229462E-3</v>
      </c>
      <c r="E8" s="9">
        <f t="shared" si="1"/>
        <v>0.01</v>
      </c>
      <c r="F8" s="142">
        <f t="shared" si="0"/>
        <v>8.3717735912058888E-4</v>
      </c>
      <c r="G8" s="9">
        <f t="shared" si="1"/>
        <v>0.02</v>
      </c>
      <c r="H8" s="142">
        <f t="shared" si="2"/>
        <v>1.6821425527395739E-3</v>
      </c>
    </row>
    <row r="9" spans="2:8" x14ac:dyDescent="0.25">
      <c r="B9" s="3">
        <f t="shared" si="3"/>
        <v>6</v>
      </c>
      <c r="C9" s="9">
        <f t="shared" si="4"/>
        <v>0.06</v>
      </c>
      <c r="D9" s="142">
        <f t="shared" si="0"/>
        <v>5.1430128318229462E-3</v>
      </c>
      <c r="E9" s="9">
        <f t="shared" si="1"/>
        <v>1.2E-2</v>
      </c>
      <c r="F9" s="142">
        <f t="shared" si="0"/>
        <v>1.0055425391276573E-3</v>
      </c>
      <c r="G9" s="9">
        <f t="shared" si="1"/>
        <v>2.4E-2</v>
      </c>
      <c r="H9" s="142">
        <f t="shared" si="2"/>
        <v>2.0223433498771648E-3</v>
      </c>
    </row>
    <row r="10" spans="2:8" x14ac:dyDescent="0.25">
      <c r="B10" s="3">
        <f t="shared" si="3"/>
        <v>7</v>
      </c>
      <c r="C10" s="9">
        <f t="shared" si="4"/>
        <v>0.06</v>
      </c>
      <c r="D10" s="142">
        <f t="shared" si="0"/>
        <v>5.1430128318229462E-3</v>
      </c>
      <c r="E10" s="9">
        <f t="shared" si="1"/>
        <v>1.4E-2</v>
      </c>
      <c r="F10" s="142">
        <f t="shared" si="0"/>
        <v>1.1742204280067448E-3</v>
      </c>
      <c r="G10" s="9">
        <f t="shared" si="1"/>
        <v>2.8000000000000001E-2</v>
      </c>
      <c r="H10" s="142">
        <f t="shared" si="2"/>
        <v>2.3638246327857271E-3</v>
      </c>
    </row>
    <row r="11" spans="2:8" x14ac:dyDescent="0.25">
      <c r="B11" s="3">
        <f t="shared" si="3"/>
        <v>8</v>
      </c>
      <c r="C11" s="9">
        <f t="shared" si="4"/>
        <v>0.06</v>
      </c>
      <c r="D11" s="142">
        <f t="shared" si="0"/>
        <v>5.1430128318229462E-3</v>
      </c>
      <c r="E11" s="9">
        <f t="shared" si="1"/>
        <v>1.6E-2</v>
      </c>
      <c r="F11" s="142">
        <f t="shared" si="0"/>
        <v>1.3432122426282334E-3</v>
      </c>
      <c r="G11" s="9">
        <f t="shared" si="1"/>
        <v>3.2000000000000001E-2</v>
      </c>
      <c r="H11" s="142">
        <f t="shared" si="2"/>
        <v>2.7065965204493558E-3</v>
      </c>
    </row>
    <row r="12" spans="2:8" x14ac:dyDescent="0.25">
      <c r="B12" s="3">
        <f t="shared" si="3"/>
        <v>9</v>
      </c>
      <c r="C12" s="9">
        <f t="shared" si="4"/>
        <v>0.06</v>
      </c>
      <c r="D12" s="142">
        <f t="shared" si="0"/>
        <v>5.1430128318229462E-3</v>
      </c>
      <c r="E12" s="9">
        <f t="shared" si="1"/>
        <v>1.8000000000000002E-2</v>
      </c>
      <c r="F12" s="142">
        <f t="shared" si="0"/>
        <v>1.5125192070827298E-3</v>
      </c>
      <c r="G12" s="9">
        <f t="shared" si="1"/>
        <v>3.6000000000000004E-2</v>
      </c>
      <c r="H12" s="142">
        <f t="shared" si="2"/>
        <v>3.0506692540422931E-3</v>
      </c>
    </row>
    <row r="13" spans="2:8" x14ac:dyDescent="0.25">
      <c r="B13" s="3">
        <f t="shared" si="3"/>
        <v>10</v>
      </c>
      <c r="C13" s="9">
        <f t="shared" si="4"/>
        <v>0.06</v>
      </c>
      <c r="D13" s="142">
        <f t="shared" si="0"/>
        <v>5.1430128318229462E-3</v>
      </c>
      <c r="E13" s="9">
        <f t="shared" si="1"/>
        <v>0.02</v>
      </c>
      <c r="F13" s="142">
        <f t="shared" si="0"/>
        <v>1.6821425527395739E-3</v>
      </c>
      <c r="G13" s="9">
        <f t="shared" si="1"/>
        <v>0.04</v>
      </c>
      <c r="H13" s="142">
        <f t="shared" si="2"/>
        <v>3.3960531989175591E-3</v>
      </c>
    </row>
    <row r="14" spans="2:8" x14ac:dyDescent="0.25">
      <c r="B14" s="3">
        <f t="shared" si="3"/>
        <v>11</v>
      </c>
      <c r="C14" s="9">
        <f t="shared" si="4"/>
        <v>0.06</v>
      </c>
      <c r="D14" s="142">
        <f t="shared" si="0"/>
        <v>5.1430128318229462E-3</v>
      </c>
      <c r="E14" s="9">
        <f t="shared" si="1"/>
        <v>2.1999999999999999E-2</v>
      </c>
      <c r="F14" s="142">
        <f t="shared" si="0"/>
        <v>1.8520835183041262E-3</v>
      </c>
      <c r="G14" s="9">
        <f t="shared" si="1"/>
        <v>4.3999999999999997E-2</v>
      </c>
      <c r="H14" s="142">
        <f t="shared" si="2"/>
        <v>3.7427588466381057E-3</v>
      </c>
    </row>
    <row r="15" spans="2:8" x14ac:dyDescent="0.25">
      <c r="B15" s="3">
        <f t="shared" si="3"/>
        <v>12</v>
      </c>
      <c r="C15" s="9">
        <f t="shared" si="4"/>
        <v>0.06</v>
      </c>
      <c r="D15" s="142">
        <f t="shared" si="0"/>
        <v>5.1430128318229462E-3</v>
      </c>
      <c r="E15" s="9">
        <f t="shared" si="1"/>
        <v>2.4E-2</v>
      </c>
      <c r="F15" s="142">
        <f t="shared" si="0"/>
        <v>2.0223433498771648E-3</v>
      </c>
      <c r="G15" s="9">
        <f t="shared" si="1"/>
        <v>4.8000000000000001E-2</v>
      </c>
      <c r="H15" s="142">
        <f t="shared" si="2"/>
        <v>4.0907968170484921E-3</v>
      </c>
    </row>
    <row r="16" spans="2:8" x14ac:dyDescent="0.25">
      <c r="B16" s="3">
        <f t="shared" si="3"/>
        <v>13</v>
      </c>
      <c r="C16" s="9">
        <f t="shared" si="4"/>
        <v>0.06</v>
      </c>
      <c r="D16" s="142">
        <f t="shared" si="0"/>
        <v>5.1430128318229462E-3</v>
      </c>
      <c r="E16" s="9">
        <f t="shared" si="1"/>
        <v>2.6000000000000002E-2</v>
      </c>
      <c r="F16" s="142">
        <f t="shared" si="0"/>
        <v>2.1929233010143934E-3</v>
      </c>
      <c r="G16" s="9">
        <f t="shared" si="1"/>
        <v>5.2000000000000005E-2</v>
      </c>
      <c r="H16" s="142">
        <f t="shared" si="2"/>
        <v>4.4401778603907482E-3</v>
      </c>
    </row>
    <row r="17" spans="2:8" x14ac:dyDescent="0.25">
      <c r="B17" s="3">
        <f t="shared" si="3"/>
        <v>14</v>
      </c>
      <c r="C17" s="9">
        <f t="shared" si="4"/>
        <v>0.06</v>
      </c>
      <c r="D17" s="142">
        <f t="shared" si="0"/>
        <v>5.1430128318229462E-3</v>
      </c>
      <c r="E17" s="9">
        <f t="shared" si="1"/>
        <v>2.8000000000000001E-2</v>
      </c>
      <c r="F17" s="142">
        <f t="shared" si="0"/>
        <v>2.3638246327857271E-3</v>
      </c>
      <c r="G17" s="9">
        <f t="shared" si="1"/>
        <v>5.6000000000000001E-2</v>
      </c>
      <c r="H17" s="142">
        <f t="shared" si="2"/>
        <v>4.7909128594627592E-3</v>
      </c>
    </row>
    <row r="18" spans="2:8" x14ac:dyDescent="0.25">
      <c r="B18" s="3">
        <f t="shared" si="3"/>
        <v>15</v>
      </c>
      <c r="C18" s="9">
        <f t="shared" si="4"/>
        <v>0.06</v>
      </c>
      <c r="D18" s="142">
        <f t="shared" si="0"/>
        <v>5.1430128318229462E-3</v>
      </c>
      <c r="E18" s="9">
        <f t="shared" si="1"/>
        <v>2.9999999999999995E-2</v>
      </c>
      <c r="F18" s="142">
        <f t="shared" si="0"/>
        <v>2.5350486138366879E-3</v>
      </c>
      <c r="G18" s="9">
        <f t="shared" si="1"/>
        <v>5.9999999999999991E-2</v>
      </c>
      <c r="H18" s="142">
        <f t="shared" si="2"/>
        <v>5.1430128318229462E-3</v>
      </c>
    </row>
    <row r="19" spans="2:8" x14ac:dyDescent="0.25">
      <c r="B19" s="3">
        <f t="shared" si="3"/>
        <v>16</v>
      </c>
      <c r="C19" s="9">
        <f t="shared" si="4"/>
        <v>0.06</v>
      </c>
      <c r="D19" s="142">
        <f t="shared" si="0"/>
        <v>5.1430128318229462E-3</v>
      </c>
      <c r="E19" s="9">
        <f t="shared" si="1"/>
        <v>3.2000000000000001E-2</v>
      </c>
      <c r="F19" s="142">
        <f t="shared" si="0"/>
        <v>2.7065965204493558E-3</v>
      </c>
      <c r="G19" s="9">
        <f t="shared" si="1"/>
        <v>6.4000000000000001E-2</v>
      </c>
      <c r="H19" s="142">
        <f t="shared" si="2"/>
        <v>5.4964889320406884E-3</v>
      </c>
    </row>
    <row r="20" spans="2:8" x14ac:dyDescent="0.25">
      <c r="B20" s="3">
        <f t="shared" si="3"/>
        <v>17</v>
      </c>
      <c r="C20" s="9">
        <f t="shared" si="4"/>
        <v>0.06</v>
      </c>
      <c r="D20" s="142">
        <f t="shared" si="0"/>
        <v>5.1430128318229462E-3</v>
      </c>
      <c r="E20" s="9">
        <f t="shared" si="1"/>
        <v>3.4000000000000002E-2</v>
      </c>
      <c r="F20" s="142">
        <f t="shared" si="0"/>
        <v>2.8784696366042084E-3</v>
      </c>
      <c r="G20" s="9">
        <f t="shared" si="1"/>
        <v>6.8000000000000005E-2</v>
      </c>
      <c r="H20" s="142">
        <f t="shared" si="2"/>
        <v>5.8513524539940409E-3</v>
      </c>
    </row>
    <row r="21" spans="2:8" x14ac:dyDescent="0.25">
      <c r="B21" s="3">
        <f t="shared" si="3"/>
        <v>18</v>
      </c>
      <c r="C21" s="9">
        <f t="shared" si="4"/>
        <v>0.06</v>
      </c>
      <c r="D21" s="142">
        <f t="shared" si="0"/>
        <v>5.1430128318229462E-3</v>
      </c>
      <c r="E21" s="9">
        <f t="shared" si="1"/>
        <v>3.6000000000000004E-2</v>
      </c>
      <c r="F21" s="142">
        <f t="shared" si="0"/>
        <v>3.0506692540422931E-3</v>
      </c>
      <c r="G21" s="9">
        <f t="shared" si="1"/>
        <v>7.2000000000000008E-2</v>
      </c>
      <c r="H21" s="142">
        <f t="shared" si="2"/>
        <v>6.2076148332157466E-3</v>
      </c>
    </row>
    <row r="22" spans="2:8" x14ac:dyDescent="0.25">
      <c r="B22" s="3">
        <f t="shared" si="3"/>
        <v>19</v>
      </c>
      <c r="C22" s="9">
        <f t="shared" si="4"/>
        <v>0.06</v>
      </c>
      <c r="D22" s="142">
        <f t="shared" si="0"/>
        <v>5.1430128318229462E-3</v>
      </c>
      <c r="E22" s="9">
        <f t="shared" si="1"/>
        <v>3.7999999999999999E-2</v>
      </c>
      <c r="F22" s="142">
        <f t="shared" si="0"/>
        <v>3.223196672329065E-3</v>
      </c>
      <c r="G22" s="9">
        <f t="shared" si="1"/>
        <v>7.5999999999999998E-2</v>
      </c>
      <c r="H22" s="142">
        <f t="shared" si="2"/>
        <v>6.5652876492899859E-3</v>
      </c>
    </row>
    <row r="23" spans="2:8" x14ac:dyDescent="0.25">
      <c r="B23" s="3">
        <f t="shared" si="3"/>
        <v>20</v>
      </c>
      <c r="C23" s="9">
        <f t="shared" si="4"/>
        <v>0.06</v>
      </c>
      <c r="D23" s="142">
        <f t="shared" si="0"/>
        <v>5.1430128318229462E-3</v>
      </c>
      <c r="E23" s="9">
        <f t="shared" si="1"/>
        <v>0.04</v>
      </c>
      <c r="F23" s="142">
        <f t="shared" si="0"/>
        <v>3.3960531989175591E-3</v>
      </c>
      <c r="G23" s="9">
        <f t="shared" si="1"/>
        <v>0.08</v>
      </c>
      <c r="H23" s="142">
        <f t="shared" si="2"/>
        <v>6.9243826282994192E-3</v>
      </c>
    </row>
    <row r="24" spans="2:8" x14ac:dyDescent="0.25">
      <c r="B24" s="3">
        <f t="shared" si="3"/>
        <v>21</v>
      </c>
      <c r="C24" s="9">
        <f t="shared" si="4"/>
        <v>0.06</v>
      </c>
      <c r="D24" s="142">
        <f t="shared" si="0"/>
        <v>5.1430128318229462E-3</v>
      </c>
      <c r="E24" s="9">
        <f t="shared" si="1"/>
        <v>4.2000000000000003E-2</v>
      </c>
      <c r="F24" s="142">
        <f t="shared" si="0"/>
        <v>3.5692401492131154E-3</v>
      </c>
      <c r="G24" s="9">
        <f t="shared" si="1"/>
        <v>8.4000000000000005E-2</v>
      </c>
      <c r="H24" s="142">
        <f t="shared" si="2"/>
        <v>7.2849116453249652E-3</v>
      </c>
    </row>
    <row r="25" spans="2:8" x14ac:dyDescent="0.25">
      <c r="B25" s="3">
        <f t="shared" si="3"/>
        <v>22</v>
      </c>
      <c r="C25" s="9">
        <f t="shared" si="4"/>
        <v>0.06</v>
      </c>
      <c r="D25" s="142">
        <f t="shared" si="0"/>
        <v>5.1430128318229462E-3</v>
      </c>
      <c r="E25" s="9">
        <f t="shared" si="1"/>
        <v>4.3999999999999997E-2</v>
      </c>
      <c r="F25" s="142">
        <f t="shared" si="0"/>
        <v>3.7427588466381057E-3</v>
      </c>
      <c r="G25" s="9">
        <f t="shared" si="1"/>
        <v>8.7999999999999995E-2</v>
      </c>
      <c r="H25" s="142">
        <f t="shared" si="2"/>
        <v>7.6468867269993135E-3</v>
      </c>
    </row>
    <row r="26" spans="2:8" x14ac:dyDescent="0.25">
      <c r="B26" s="3">
        <f t="shared" si="3"/>
        <v>23</v>
      </c>
      <c r="C26" s="9">
        <f t="shared" si="4"/>
        <v>0.06</v>
      </c>
      <c r="D26" s="142">
        <f t="shared" si="0"/>
        <v>5.1430128318229462E-3</v>
      </c>
      <c r="E26" s="9">
        <f t="shared" si="1"/>
        <v>4.5999999999999999E-2</v>
      </c>
      <c r="F26" s="142">
        <f t="shared" si="0"/>
        <v>3.9166106226982134E-3</v>
      </c>
      <c r="G26" s="9">
        <f t="shared" si="1"/>
        <v>9.1999999999999998E-2</v>
      </c>
      <c r="H26" s="142">
        <f t="shared" si="2"/>
        <v>8.0103200541153941E-3</v>
      </c>
    </row>
    <row r="27" spans="2:8" x14ac:dyDescent="0.25">
      <c r="B27" s="3">
        <f t="shared" si="3"/>
        <v>24</v>
      </c>
      <c r="C27" s="9">
        <f t="shared" si="4"/>
        <v>0.06</v>
      </c>
      <c r="D27" s="142">
        <f t="shared" si="0"/>
        <v>5.1430128318229462E-3</v>
      </c>
      <c r="E27" s="9">
        <f t="shared" si="1"/>
        <v>4.8000000000000001E-2</v>
      </c>
      <c r="F27" s="142">
        <f t="shared" si="0"/>
        <v>4.0907968170484921E-3</v>
      </c>
      <c r="G27" s="9">
        <f t="shared" si="1"/>
        <v>9.6000000000000002E-2</v>
      </c>
      <c r="H27" s="142">
        <f t="shared" si="2"/>
        <v>8.3752239642919113E-3</v>
      </c>
    </row>
    <row r="28" spans="2:8" x14ac:dyDescent="0.25">
      <c r="B28" s="3">
        <f t="shared" si="3"/>
        <v>25</v>
      </c>
      <c r="C28" s="9">
        <f t="shared" si="4"/>
        <v>0.06</v>
      </c>
      <c r="D28" s="142">
        <f t="shared" si="0"/>
        <v>5.1430128318229462E-3</v>
      </c>
      <c r="E28" s="9">
        <f t="shared" si="1"/>
        <v>0.05</v>
      </c>
      <c r="F28" s="142">
        <f t="shared" si="0"/>
        <v>4.2653187775606449E-3</v>
      </c>
      <c r="G28" s="9">
        <f t="shared" si="1"/>
        <v>0.1</v>
      </c>
      <c r="H28" s="142">
        <f t="shared" si="2"/>
        <v>8.7416109546967213E-3</v>
      </c>
    </row>
    <row r="29" spans="2:8" x14ac:dyDescent="0.25">
      <c r="B29" s="3">
        <f t="shared" si="3"/>
        <v>26</v>
      </c>
      <c r="C29" s="9">
        <f t="shared" si="4"/>
        <v>0.06</v>
      </c>
      <c r="D29" s="142">
        <f t="shared" si="0"/>
        <v>5.1430128318229462E-3</v>
      </c>
      <c r="E29" s="9">
        <f t="shared" si="1"/>
        <v>5.2000000000000005E-2</v>
      </c>
      <c r="F29" s="142">
        <f t="shared" si="0"/>
        <v>4.4401778603907482E-3</v>
      </c>
      <c r="G29" s="9">
        <f t="shared" si="1"/>
        <v>0.10400000000000001</v>
      </c>
      <c r="H29" s="142">
        <f t="shared" si="2"/>
        <v>9.109493684829828E-3</v>
      </c>
    </row>
    <row r="30" spans="2:8" x14ac:dyDescent="0.25">
      <c r="B30" s="3">
        <f t="shared" si="3"/>
        <v>27</v>
      </c>
      <c r="C30" s="9">
        <f t="shared" si="4"/>
        <v>0.06</v>
      </c>
      <c r="D30" s="142">
        <f t="shared" si="0"/>
        <v>5.1430128318229462E-3</v>
      </c>
      <c r="E30" s="9">
        <f t="shared" si="1"/>
        <v>5.3999999999999999E-2</v>
      </c>
      <c r="F30" s="142">
        <f t="shared" si="0"/>
        <v>4.6153754300476413E-3</v>
      </c>
      <c r="G30" s="9">
        <f t="shared" si="1"/>
        <v>0.108</v>
      </c>
      <c r="H30" s="142">
        <f t="shared" si="2"/>
        <v>9.4788849793674412E-3</v>
      </c>
    </row>
    <row r="31" spans="2:8" x14ac:dyDescent="0.25">
      <c r="B31" s="3">
        <f t="shared" si="3"/>
        <v>28</v>
      </c>
      <c r="C31" s="9">
        <f t="shared" si="4"/>
        <v>0.06</v>
      </c>
      <c r="D31" s="142">
        <f t="shared" si="0"/>
        <v>5.1430128318229462E-3</v>
      </c>
      <c r="E31" s="9">
        <f t="shared" si="1"/>
        <v>5.6000000000000001E-2</v>
      </c>
      <c r="F31" s="142">
        <f t="shared" si="0"/>
        <v>4.7909128594627592E-3</v>
      </c>
      <c r="G31" s="9">
        <f t="shared" si="1"/>
        <v>0.112</v>
      </c>
      <c r="H31" s="142">
        <f t="shared" si="2"/>
        <v>9.84979783106954E-3</v>
      </c>
    </row>
    <row r="32" spans="2:8" x14ac:dyDescent="0.25">
      <c r="B32" s="3">
        <f t="shared" si="3"/>
        <v>29</v>
      </c>
      <c r="C32" s="9">
        <f t="shared" si="4"/>
        <v>0.06</v>
      </c>
      <c r="D32" s="142">
        <f t="shared" si="0"/>
        <v>5.1430128318229462E-3</v>
      </c>
      <c r="E32" s="9">
        <f t="shared" si="1"/>
        <v>5.8000000000000003E-2</v>
      </c>
      <c r="F32" s="142">
        <f t="shared" si="0"/>
        <v>4.9667915300590781E-3</v>
      </c>
      <c r="G32" s="9">
        <f t="shared" si="1"/>
        <v>0.11600000000000001</v>
      </c>
      <c r="H32" s="142">
        <f t="shared" si="2"/>
        <v>1.0222245403750829E-2</v>
      </c>
    </row>
    <row r="33" spans="2:8" x14ac:dyDescent="0.25">
      <c r="B33" s="143">
        <f t="shared" si="3"/>
        <v>30</v>
      </c>
      <c r="C33" s="144">
        <f t="shared" si="4"/>
        <v>0.06</v>
      </c>
      <c r="D33" s="145">
        <f t="shared" si="0"/>
        <v>5.1430128318229462E-3</v>
      </c>
      <c r="E33" s="144">
        <f t="shared" si="1"/>
        <v>5.9999999999999991E-2</v>
      </c>
      <c r="F33" s="145">
        <f t="shared" si="0"/>
        <v>5.1430128318229462E-3</v>
      </c>
      <c r="G33" s="144">
        <f t="shared" si="1"/>
        <v>0.11999999999999998</v>
      </c>
      <c r="H33" s="145">
        <f t="shared" si="2"/>
        <v>1.0596241035318976E-2</v>
      </c>
    </row>
    <row r="34" spans="2:8" x14ac:dyDescent="0.25">
      <c r="B34" s="3">
        <f t="shared" si="3"/>
        <v>31</v>
      </c>
      <c r="C34" s="9">
        <f t="shared" si="4"/>
        <v>0.06</v>
      </c>
      <c r="D34" s="142">
        <f t="shared" si="0"/>
        <v>5.1430128318229462E-3</v>
      </c>
      <c r="E34" s="9">
        <f t="shared" si="1"/>
        <v>0.06</v>
      </c>
      <c r="F34" s="142">
        <f t="shared" si="0"/>
        <v>5.1430128318229462E-3</v>
      </c>
      <c r="G34" s="9">
        <f t="shared" si="1"/>
        <v>0.12</v>
      </c>
      <c r="H34" s="142">
        <f t="shared" si="2"/>
        <v>1.0596241035318976E-2</v>
      </c>
    </row>
    <row r="35" spans="2:8" x14ac:dyDescent="0.25">
      <c r="B35" s="3">
        <f t="shared" si="3"/>
        <v>32</v>
      </c>
      <c r="C35" s="9">
        <f t="shared" si="4"/>
        <v>0.06</v>
      </c>
      <c r="D35" s="142">
        <f t="shared" si="0"/>
        <v>5.1430128318229462E-3</v>
      </c>
      <c r="E35" s="9">
        <f t="shared" si="1"/>
        <v>0.06</v>
      </c>
      <c r="F35" s="142">
        <f t="shared" si="0"/>
        <v>5.1430128318229462E-3</v>
      </c>
      <c r="G35" s="9">
        <f t="shared" si="1"/>
        <v>0.12</v>
      </c>
      <c r="H35" s="142">
        <f t="shared" si="2"/>
        <v>1.0596241035318976E-2</v>
      </c>
    </row>
    <row r="36" spans="2:8" x14ac:dyDescent="0.25">
      <c r="B36" s="3">
        <f t="shared" si="3"/>
        <v>33</v>
      </c>
      <c r="C36" s="9">
        <f t="shared" si="4"/>
        <v>0.06</v>
      </c>
      <c r="D36" s="142">
        <f t="shared" si="0"/>
        <v>5.1430128318229462E-3</v>
      </c>
      <c r="E36" s="9">
        <f t="shared" si="1"/>
        <v>0.06</v>
      </c>
      <c r="F36" s="142">
        <f t="shared" si="0"/>
        <v>5.1430128318229462E-3</v>
      </c>
      <c r="G36" s="9">
        <f t="shared" si="1"/>
        <v>0.12</v>
      </c>
      <c r="H36" s="142">
        <f t="shared" si="2"/>
        <v>1.0596241035318976E-2</v>
      </c>
    </row>
    <row r="37" spans="2:8" x14ac:dyDescent="0.25">
      <c r="B37" s="3">
        <f t="shared" si="3"/>
        <v>34</v>
      </c>
      <c r="C37" s="9">
        <f t="shared" si="4"/>
        <v>0.06</v>
      </c>
      <c r="D37" s="142">
        <f t="shared" si="0"/>
        <v>5.1430128318229462E-3</v>
      </c>
      <c r="E37" s="9">
        <f t="shared" si="1"/>
        <v>0.06</v>
      </c>
      <c r="F37" s="142">
        <f t="shared" si="0"/>
        <v>5.1430128318229462E-3</v>
      </c>
      <c r="G37" s="9">
        <f t="shared" si="1"/>
        <v>0.12</v>
      </c>
      <c r="H37" s="142">
        <f t="shared" si="2"/>
        <v>1.0596241035318976E-2</v>
      </c>
    </row>
    <row r="38" spans="2:8" x14ac:dyDescent="0.25">
      <c r="B38" s="3">
        <f t="shared" si="3"/>
        <v>35</v>
      </c>
      <c r="C38" s="9">
        <f t="shared" si="4"/>
        <v>0.06</v>
      </c>
      <c r="D38" s="142">
        <f t="shared" si="0"/>
        <v>5.1430128318229462E-3</v>
      </c>
      <c r="E38" s="9">
        <f t="shared" si="1"/>
        <v>0.06</v>
      </c>
      <c r="F38" s="142">
        <f t="shared" si="0"/>
        <v>5.1430128318229462E-3</v>
      </c>
      <c r="G38" s="9">
        <f t="shared" si="1"/>
        <v>0.12</v>
      </c>
      <c r="H38" s="142">
        <f t="shared" si="2"/>
        <v>1.0596241035318976E-2</v>
      </c>
    </row>
    <row r="39" spans="2:8" x14ac:dyDescent="0.25">
      <c r="B39" s="3">
        <f t="shared" si="3"/>
        <v>36</v>
      </c>
      <c r="C39" s="9">
        <f t="shared" si="4"/>
        <v>0.06</v>
      </c>
      <c r="D39" s="142">
        <f t="shared" si="0"/>
        <v>5.1430128318229462E-3</v>
      </c>
      <c r="E39" s="9">
        <f t="shared" si="1"/>
        <v>0.06</v>
      </c>
      <c r="F39" s="142">
        <f t="shared" si="0"/>
        <v>5.1430128318229462E-3</v>
      </c>
      <c r="G39" s="9">
        <f t="shared" si="1"/>
        <v>0.12</v>
      </c>
      <c r="H39" s="142">
        <f t="shared" si="2"/>
        <v>1.0596241035318976E-2</v>
      </c>
    </row>
    <row r="40" spans="2:8" x14ac:dyDescent="0.25">
      <c r="B40" s="3">
        <f t="shared" si="3"/>
        <v>37</v>
      </c>
      <c r="C40" s="9">
        <f t="shared" si="4"/>
        <v>0.06</v>
      </c>
      <c r="D40" s="142">
        <f t="shared" si="0"/>
        <v>5.1430128318229462E-3</v>
      </c>
      <c r="E40" s="9">
        <f t="shared" si="1"/>
        <v>0.06</v>
      </c>
      <c r="F40" s="142">
        <f t="shared" si="0"/>
        <v>5.1430128318229462E-3</v>
      </c>
      <c r="G40" s="9">
        <f t="shared" si="1"/>
        <v>0.12</v>
      </c>
      <c r="H40" s="142">
        <f t="shared" si="2"/>
        <v>1.0596241035318976E-2</v>
      </c>
    </row>
    <row r="41" spans="2:8" x14ac:dyDescent="0.25">
      <c r="B41" s="3">
        <f t="shared" si="3"/>
        <v>38</v>
      </c>
      <c r="C41" s="9">
        <f t="shared" si="4"/>
        <v>0.06</v>
      </c>
      <c r="D41" s="142">
        <f t="shared" si="0"/>
        <v>5.1430128318229462E-3</v>
      </c>
      <c r="E41" s="9">
        <f t="shared" si="1"/>
        <v>0.06</v>
      </c>
      <c r="F41" s="142">
        <f t="shared" si="0"/>
        <v>5.1430128318229462E-3</v>
      </c>
      <c r="G41" s="9">
        <f t="shared" si="1"/>
        <v>0.12</v>
      </c>
      <c r="H41" s="142">
        <f t="shared" si="2"/>
        <v>1.0596241035318976E-2</v>
      </c>
    </row>
    <row r="42" spans="2:8" x14ac:dyDescent="0.25">
      <c r="B42" s="3">
        <f t="shared" si="3"/>
        <v>39</v>
      </c>
      <c r="C42" s="9">
        <f t="shared" si="4"/>
        <v>0.06</v>
      </c>
      <c r="D42" s="142">
        <f t="shared" si="0"/>
        <v>5.1430128318229462E-3</v>
      </c>
      <c r="E42" s="9">
        <f t="shared" si="1"/>
        <v>0.06</v>
      </c>
      <c r="F42" s="142">
        <f t="shared" si="0"/>
        <v>5.1430128318229462E-3</v>
      </c>
      <c r="G42" s="9">
        <f t="shared" si="1"/>
        <v>0.12</v>
      </c>
      <c r="H42" s="142">
        <f t="shared" si="2"/>
        <v>1.0596241035318976E-2</v>
      </c>
    </row>
    <row r="43" spans="2:8" x14ac:dyDescent="0.25">
      <c r="B43" s="3">
        <f t="shared" si="3"/>
        <v>40</v>
      </c>
      <c r="C43" s="9">
        <f t="shared" si="4"/>
        <v>0.06</v>
      </c>
      <c r="D43" s="142">
        <f t="shared" si="0"/>
        <v>5.1430128318229462E-3</v>
      </c>
      <c r="E43" s="9">
        <f t="shared" si="1"/>
        <v>0.06</v>
      </c>
      <c r="F43" s="142">
        <f t="shared" si="0"/>
        <v>5.1430128318229462E-3</v>
      </c>
      <c r="G43" s="9">
        <f t="shared" si="1"/>
        <v>0.12</v>
      </c>
      <c r="H43" s="142">
        <f t="shared" si="2"/>
        <v>1.0596241035318976E-2</v>
      </c>
    </row>
    <row r="44" spans="2:8" x14ac:dyDescent="0.25">
      <c r="B44" s="3">
        <f t="shared" si="3"/>
        <v>41</v>
      </c>
      <c r="C44" s="9">
        <f t="shared" si="4"/>
        <v>0.06</v>
      </c>
      <c r="D44" s="142">
        <f t="shared" si="0"/>
        <v>5.1430128318229462E-3</v>
      </c>
      <c r="E44" s="9">
        <f t="shared" si="1"/>
        <v>0.06</v>
      </c>
      <c r="F44" s="142">
        <f t="shared" si="0"/>
        <v>5.1430128318229462E-3</v>
      </c>
      <c r="G44" s="9">
        <f t="shared" si="1"/>
        <v>0.12</v>
      </c>
      <c r="H44" s="142">
        <f t="shared" si="2"/>
        <v>1.0596241035318976E-2</v>
      </c>
    </row>
    <row r="45" spans="2:8" x14ac:dyDescent="0.25">
      <c r="B45" s="3">
        <f t="shared" si="3"/>
        <v>42</v>
      </c>
      <c r="C45" s="9">
        <f t="shared" si="4"/>
        <v>0.06</v>
      </c>
      <c r="D45" s="142">
        <f t="shared" si="0"/>
        <v>5.1430128318229462E-3</v>
      </c>
      <c r="E45" s="9">
        <f t="shared" si="1"/>
        <v>0.06</v>
      </c>
      <c r="F45" s="142">
        <f t="shared" si="0"/>
        <v>5.1430128318229462E-3</v>
      </c>
      <c r="G45" s="9">
        <f t="shared" si="1"/>
        <v>0.12</v>
      </c>
      <c r="H45" s="142">
        <f t="shared" si="2"/>
        <v>1.0596241035318976E-2</v>
      </c>
    </row>
    <row r="46" spans="2:8" x14ac:dyDescent="0.25">
      <c r="B46" s="3">
        <f t="shared" si="3"/>
        <v>43</v>
      </c>
      <c r="C46" s="9">
        <f t="shared" si="4"/>
        <v>0.06</v>
      </c>
      <c r="D46" s="142">
        <f t="shared" si="0"/>
        <v>5.1430128318229462E-3</v>
      </c>
      <c r="E46" s="9">
        <f t="shared" si="1"/>
        <v>0.06</v>
      </c>
      <c r="F46" s="142">
        <f t="shared" si="0"/>
        <v>5.1430128318229462E-3</v>
      </c>
      <c r="G46" s="9">
        <f t="shared" si="1"/>
        <v>0.12</v>
      </c>
      <c r="H46" s="142">
        <f t="shared" si="2"/>
        <v>1.0596241035318976E-2</v>
      </c>
    </row>
    <row r="47" spans="2:8" x14ac:dyDescent="0.25">
      <c r="B47" s="3">
        <f t="shared" si="3"/>
        <v>44</v>
      </c>
      <c r="C47" s="9">
        <f t="shared" si="4"/>
        <v>0.06</v>
      </c>
      <c r="D47" s="142">
        <f t="shared" si="0"/>
        <v>5.1430128318229462E-3</v>
      </c>
      <c r="E47" s="9">
        <f t="shared" si="1"/>
        <v>0.06</v>
      </c>
      <c r="F47" s="142">
        <f t="shared" si="0"/>
        <v>5.1430128318229462E-3</v>
      </c>
      <c r="G47" s="9">
        <f t="shared" si="1"/>
        <v>0.12</v>
      </c>
      <c r="H47" s="142">
        <f t="shared" si="2"/>
        <v>1.0596241035318976E-2</v>
      </c>
    </row>
    <row r="48" spans="2:8" x14ac:dyDescent="0.25">
      <c r="B48" s="3">
        <f t="shared" si="3"/>
        <v>45</v>
      </c>
      <c r="C48" s="9">
        <f t="shared" si="4"/>
        <v>0.06</v>
      </c>
      <c r="D48" s="142">
        <f t="shared" si="0"/>
        <v>5.1430128318229462E-3</v>
      </c>
      <c r="E48" s="9">
        <f t="shared" si="1"/>
        <v>0.06</v>
      </c>
      <c r="F48" s="142">
        <f t="shared" si="0"/>
        <v>5.1430128318229462E-3</v>
      </c>
      <c r="G48" s="9">
        <f t="shared" si="1"/>
        <v>0.12</v>
      </c>
      <c r="H48" s="142">
        <f t="shared" si="2"/>
        <v>1.0596241035318976E-2</v>
      </c>
    </row>
    <row r="49" spans="2:8" x14ac:dyDescent="0.25">
      <c r="B49" s="3">
        <f t="shared" si="3"/>
        <v>46</v>
      </c>
      <c r="C49" s="9">
        <f t="shared" si="4"/>
        <v>0.06</v>
      </c>
      <c r="D49" s="142">
        <f t="shared" si="0"/>
        <v>5.1430128318229462E-3</v>
      </c>
      <c r="E49" s="9">
        <f t="shared" si="1"/>
        <v>0.06</v>
      </c>
      <c r="F49" s="142">
        <f t="shared" si="0"/>
        <v>5.1430128318229462E-3</v>
      </c>
      <c r="G49" s="9">
        <f t="shared" si="1"/>
        <v>0.12</v>
      </c>
      <c r="H49" s="142">
        <f t="shared" si="2"/>
        <v>1.0596241035318976E-2</v>
      </c>
    </row>
    <row r="50" spans="2:8" x14ac:dyDescent="0.25">
      <c r="B50" s="3">
        <f t="shared" si="3"/>
        <v>47</v>
      </c>
      <c r="C50" s="9">
        <f t="shared" si="4"/>
        <v>0.06</v>
      </c>
      <c r="D50" s="142">
        <f t="shared" si="0"/>
        <v>5.1430128318229462E-3</v>
      </c>
      <c r="E50" s="9">
        <f t="shared" si="1"/>
        <v>0.06</v>
      </c>
      <c r="F50" s="142">
        <f t="shared" si="0"/>
        <v>5.1430128318229462E-3</v>
      </c>
      <c r="G50" s="9">
        <f t="shared" si="1"/>
        <v>0.12</v>
      </c>
      <c r="H50" s="142">
        <f t="shared" si="2"/>
        <v>1.0596241035318976E-2</v>
      </c>
    </row>
    <row r="51" spans="2:8" x14ac:dyDescent="0.25">
      <c r="B51" s="3">
        <f t="shared" si="3"/>
        <v>48</v>
      </c>
      <c r="C51" s="9">
        <f t="shared" si="4"/>
        <v>0.06</v>
      </c>
      <c r="D51" s="142">
        <f t="shared" si="0"/>
        <v>5.1430128318229462E-3</v>
      </c>
      <c r="E51" s="9">
        <f t="shared" si="1"/>
        <v>0.06</v>
      </c>
      <c r="F51" s="142">
        <f t="shared" si="0"/>
        <v>5.1430128318229462E-3</v>
      </c>
      <c r="G51" s="9">
        <f t="shared" si="1"/>
        <v>0.12</v>
      </c>
      <c r="H51" s="142">
        <f t="shared" si="2"/>
        <v>1.0596241035318976E-2</v>
      </c>
    </row>
    <row r="52" spans="2:8" x14ac:dyDescent="0.25">
      <c r="B52" s="3">
        <f t="shared" si="3"/>
        <v>49</v>
      </c>
      <c r="C52" s="9">
        <f t="shared" si="4"/>
        <v>0.06</v>
      </c>
      <c r="D52" s="142">
        <f t="shared" si="0"/>
        <v>5.1430128318229462E-3</v>
      </c>
      <c r="E52" s="9">
        <f t="shared" si="1"/>
        <v>0.06</v>
      </c>
      <c r="F52" s="142">
        <f t="shared" si="0"/>
        <v>5.1430128318229462E-3</v>
      </c>
      <c r="G52" s="9">
        <f t="shared" si="1"/>
        <v>0.12</v>
      </c>
      <c r="H52" s="142">
        <f t="shared" si="2"/>
        <v>1.0596241035318976E-2</v>
      </c>
    </row>
    <row r="53" spans="2:8" x14ac:dyDescent="0.25">
      <c r="B53" s="3">
        <f t="shared" si="3"/>
        <v>50</v>
      </c>
      <c r="C53" s="9">
        <f t="shared" si="4"/>
        <v>0.06</v>
      </c>
      <c r="D53" s="142">
        <f t="shared" si="0"/>
        <v>5.1430128318229462E-3</v>
      </c>
      <c r="E53" s="9">
        <f t="shared" si="1"/>
        <v>0.06</v>
      </c>
      <c r="F53" s="142">
        <f t="shared" si="0"/>
        <v>5.1430128318229462E-3</v>
      </c>
      <c r="G53" s="9">
        <f t="shared" si="1"/>
        <v>0.12</v>
      </c>
      <c r="H53" s="142">
        <f t="shared" si="2"/>
        <v>1.0596241035318976E-2</v>
      </c>
    </row>
    <row r="54" spans="2:8" x14ac:dyDescent="0.25">
      <c r="B54" s="3">
        <f t="shared" si="3"/>
        <v>51</v>
      </c>
      <c r="C54" s="9">
        <f t="shared" si="4"/>
        <v>0.06</v>
      </c>
      <c r="D54" s="142">
        <f t="shared" si="0"/>
        <v>5.1430128318229462E-3</v>
      </c>
      <c r="E54" s="9">
        <f t="shared" si="1"/>
        <v>0.06</v>
      </c>
      <c r="F54" s="142">
        <f t="shared" si="0"/>
        <v>5.1430128318229462E-3</v>
      </c>
      <c r="G54" s="9">
        <f t="shared" si="1"/>
        <v>0.12</v>
      </c>
      <c r="H54" s="142">
        <f t="shared" si="2"/>
        <v>1.0596241035318976E-2</v>
      </c>
    </row>
    <row r="55" spans="2:8" x14ac:dyDescent="0.25">
      <c r="B55" s="3">
        <f t="shared" si="3"/>
        <v>52</v>
      </c>
      <c r="C55" s="9">
        <f t="shared" si="4"/>
        <v>0.06</v>
      </c>
      <c r="D55" s="142">
        <f t="shared" si="0"/>
        <v>5.1430128318229462E-3</v>
      </c>
      <c r="E55" s="9">
        <f t="shared" si="1"/>
        <v>0.06</v>
      </c>
      <c r="F55" s="142">
        <f t="shared" si="0"/>
        <v>5.1430128318229462E-3</v>
      </c>
      <c r="G55" s="9">
        <f t="shared" si="1"/>
        <v>0.12</v>
      </c>
      <c r="H55" s="142">
        <f t="shared" si="2"/>
        <v>1.0596241035318976E-2</v>
      </c>
    </row>
    <row r="56" spans="2:8" x14ac:dyDescent="0.25">
      <c r="B56" s="3">
        <f t="shared" si="3"/>
        <v>53</v>
      </c>
      <c r="C56" s="9">
        <f t="shared" si="4"/>
        <v>0.06</v>
      </c>
      <c r="D56" s="142">
        <f t="shared" si="0"/>
        <v>5.1430128318229462E-3</v>
      </c>
      <c r="E56" s="9">
        <f t="shared" si="1"/>
        <v>0.06</v>
      </c>
      <c r="F56" s="142">
        <f t="shared" si="0"/>
        <v>5.1430128318229462E-3</v>
      </c>
      <c r="G56" s="9">
        <f t="shared" si="1"/>
        <v>0.12</v>
      </c>
      <c r="H56" s="142">
        <f t="shared" si="2"/>
        <v>1.0596241035318976E-2</v>
      </c>
    </row>
    <row r="57" spans="2:8" x14ac:dyDescent="0.25">
      <c r="B57" s="3">
        <f t="shared" si="3"/>
        <v>54</v>
      </c>
      <c r="C57" s="9">
        <f t="shared" si="4"/>
        <v>0.06</v>
      </c>
      <c r="D57" s="142">
        <f t="shared" si="0"/>
        <v>5.1430128318229462E-3</v>
      </c>
      <c r="E57" s="9">
        <f t="shared" si="1"/>
        <v>0.06</v>
      </c>
      <c r="F57" s="142">
        <f t="shared" si="0"/>
        <v>5.1430128318229462E-3</v>
      </c>
      <c r="G57" s="9">
        <f t="shared" si="1"/>
        <v>0.12</v>
      </c>
      <c r="H57" s="142">
        <f t="shared" si="2"/>
        <v>1.0596241035318976E-2</v>
      </c>
    </row>
    <row r="58" spans="2:8" x14ac:dyDescent="0.25">
      <c r="B58" s="3">
        <f t="shared" si="3"/>
        <v>55</v>
      </c>
      <c r="C58" s="9">
        <f t="shared" si="4"/>
        <v>0.06</v>
      </c>
      <c r="D58" s="142">
        <f t="shared" si="0"/>
        <v>5.1430128318229462E-3</v>
      </c>
      <c r="E58" s="9">
        <f t="shared" si="1"/>
        <v>0.06</v>
      </c>
      <c r="F58" s="142">
        <f t="shared" si="0"/>
        <v>5.1430128318229462E-3</v>
      </c>
      <c r="G58" s="9">
        <f t="shared" si="1"/>
        <v>0.12</v>
      </c>
      <c r="H58" s="142">
        <f t="shared" si="2"/>
        <v>1.0596241035318976E-2</v>
      </c>
    </row>
    <row r="59" spans="2:8" x14ac:dyDescent="0.25">
      <c r="B59" s="3">
        <f t="shared" si="3"/>
        <v>56</v>
      </c>
      <c r="C59" s="9">
        <f t="shared" si="4"/>
        <v>0.06</v>
      </c>
      <c r="D59" s="142">
        <f t="shared" si="0"/>
        <v>5.1430128318229462E-3</v>
      </c>
      <c r="E59" s="9">
        <f t="shared" si="1"/>
        <v>0.06</v>
      </c>
      <c r="F59" s="142">
        <f t="shared" si="0"/>
        <v>5.1430128318229462E-3</v>
      </c>
      <c r="G59" s="9">
        <f t="shared" si="1"/>
        <v>0.12</v>
      </c>
      <c r="H59" s="142">
        <f t="shared" si="2"/>
        <v>1.0596241035318976E-2</v>
      </c>
    </row>
    <row r="60" spans="2:8" x14ac:dyDescent="0.25">
      <c r="B60" s="3">
        <f t="shared" si="3"/>
        <v>57</v>
      </c>
      <c r="C60" s="9">
        <f t="shared" si="4"/>
        <v>0.06</v>
      </c>
      <c r="D60" s="142">
        <f t="shared" si="0"/>
        <v>5.1430128318229462E-3</v>
      </c>
      <c r="E60" s="9">
        <f t="shared" si="1"/>
        <v>0.06</v>
      </c>
      <c r="F60" s="142">
        <f t="shared" si="0"/>
        <v>5.1430128318229462E-3</v>
      </c>
      <c r="G60" s="9">
        <f t="shared" si="1"/>
        <v>0.12</v>
      </c>
      <c r="H60" s="142">
        <f t="shared" si="2"/>
        <v>1.0596241035318976E-2</v>
      </c>
    </row>
    <row r="61" spans="2:8" x14ac:dyDescent="0.25">
      <c r="B61" s="3">
        <f t="shared" si="3"/>
        <v>58</v>
      </c>
      <c r="C61" s="9">
        <f t="shared" si="4"/>
        <v>0.06</v>
      </c>
      <c r="D61" s="142">
        <f t="shared" si="0"/>
        <v>5.1430128318229462E-3</v>
      </c>
      <c r="E61" s="9">
        <f t="shared" si="1"/>
        <v>0.06</v>
      </c>
      <c r="F61" s="142">
        <f t="shared" si="0"/>
        <v>5.1430128318229462E-3</v>
      </c>
      <c r="G61" s="9">
        <f t="shared" si="1"/>
        <v>0.12</v>
      </c>
      <c r="H61" s="142">
        <f t="shared" si="2"/>
        <v>1.0596241035318976E-2</v>
      </c>
    </row>
    <row r="62" spans="2:8" x14ac:dyDescent="0.25">
      <c r="B62" s="3">
        <f t="shared" si="3"/>
        <v>59</v>
      </c>
      <c r="C62" s="9">
        <f t="shared" si="4"/>
        <v>0.06</v>
      </c>
      <c r="D62" s="142">
        <f t="shared" si="0"/>
        <v>5.1430128318229462E-3</v>
      </c>
      <c r="E62" s="9">
        <f t="shared" si="1"/>
        <v>0.06</v>
      </c>
      <c r="F62" s="142">
        <f t="shared" si="0"/>
        <v>5.1430128318229462E-3</v>
      </c>
      <c r="G62" s="9">
        <f t="shared" si="1"/>
        <v>0.12</v>
      </c>
      <c r="H62" s="142">
        <f t="shared" si="2"/>
        <v>1.0596241035318976E-2</v>
      </c>
    </row>
    <row r="63" spans="2:8" x14ac:dyDescent="0.25">
      <c r="B63" s="3">
        <f t="shared" si="3"/>
        <v>60</v>
      </c>
      <c r="C63" s="9">
        <f t="shared" si="4"/>
        <v>0.06</v>
      </c>
      <c r="D63" s="142">
        <f t="shared" si="0"/>
        <v>5.1430128318229462E-3</v>
      </c>
      <c r="E63" s="9">
        <f t="shared" si="1"/>
        <v>0.06</v>
      </c>
      <c r="F63" s="142">
        <f t="shared" si="0"/>
        <v>5.1430128318229462E-3</v>
      </c>
      <c r="G63" s="9">
        <f t="shared" si="1"/>
        <v>0.12</v>
      </c>
      <c r="H63" s="142">
        <f t="shared" si="2"/>
        <v>1.0596241035318976E-2</v>
      </c>
    </row>
    <row r="64" spans="2:8" x14ac:dyDescent="0.25">
      <c r="B64" s="3">
        <f t="shared" si="3"/>
        <v>61</v>
      </c>
      <c r="C64" s="9">
        <f t="shared" si="4"/>
        <v>0.06</v>
      </c>
      <c r="D64" s="142">
        <f t="shared" si="0"/>
        <v>5.1430128318229462E-3</v>
      </c>
      <c r="E64" s="9">
        <f t="shared" si="1"/>
        <v>0.06</v>
      </c>
      <c r="F64" s="142">
        <f t="shared" si="0"/>
        <v>5.1430128318229462E-3</v>
      </c>
      <c r="G64" s="9">
        <f t="shared" si="1"/>
        <v>0.12</v>
      </c>
      <c r="H64" s="142">
        <f t="shared" si="2"/>
        <v>1.0596241035318976E-2</v>
      </c>
    </row>
    <row r="65" spans="2:8" x14ac:dyDescent="0.25">
      <c r="B65" s="3">
        <f t="shared" si="3"/>
        <v>62</v>
      </c>
      <c r="C65" s="9">
        <f t="shared" si="4"/>
        <v>0.06</v>
      </c>
      <c r="D65" s="142">
        <f t="shared" si="0"/>
        <v>5.1430128318229462E-3</v>
      </c>
      <c r="E65" s="9">
        <f t="shared" si="1"/>
        <v>0.06</v>
      </c>
      <c r="F65" s="142">
        <f t="shared" si="0"/>
        <v>5.1430128318229462E-3</v>
      </c>
      <c r="G65" s="9">
        <f t="shared" si="1"/>
        <v>0.12</v>
      </c>
      <c r="H65" s="142">
        <f t="shared" si="2"/>
        <v>1.0596241035318976E-2</v>
      </c>
    </row>
    <row r="66" spans="2:8" x14ac:dyDescent="0.25">
      <c r="B66" s="3">
        <f t="shared" si="3"/>
        <v>63</v>
      </c>
      <c r="C66" s="9">
        <f t="shared" si="4"/>
        <v>0.06</v>
      </c>
      <c r="D66" s="142">
        <f t="shared" si="0"/>
        <v>5.1430128318229462E-3</v>
      </c>
      <c r="E66" s="9">
        <f t="shared" si="1"/>
        <v>0.06</v>
      </c>
      <c r="F66" s="142">
        <f t="shared" si="0"/>
        <v>5.1430128318229462E-3</v>
      </c>
      <c r="G66" s="9">
        <f t="shared" si="1"/>
        <v>0.12</v>
      </c>
      <c r="H66" s="142">
        <f t="shared" si="2"/>
        <v>1.0596241035318976E-2</v>
      </c>
    </row>
    <row r="67" spans="2:8" x14ac:dyDescent="0.25">
      <c r="B67" s="3">
        <f t="shared" si="3"/>
        <v>64</v>
      </c>
      <c r="C67" s="9">
        <f t="shared" si="4"/>
        <v>0.06</v>
      </c>
      <c r="D67" s="142">
        <f t="shared" si="0"/>
        <v>5.1430128318229462E-3</v>
      </c>
      <c r="E67" s="9">
        <f t="shared" si="1"/>
        <v>0.06</v>
      </c>
      <c r="F67" s="142">
        <f t="shared" si="0"/>
        <v>5.1430128318229462E-3</v>
      </c>
      <c r="G67" s="9">
        <f t="shared" si="1"/>
        <v>0.12</v>
      </c>
      <c r="H67" s="142">
        <f t="shared" si="2"/>
        <v>1.0596241035318976E-2</v>
      </c>
    </row>
    <row r="68" spans="2:8" x14ac:dyDescent="0.25">
      <c r="B68" s="3">
        <f t="shared" si="3"/>
        <v>65</v>
      </c>
      <c r="C68" s="9">
        <f t="shared" si="4"/>
        <v>0.06</v>
      </c>
      <c r="D68" s="142">
        <f t="shared" si="0"/>
        <v>5.1430128318229462E-3</v>
      </c>
      <c r="E68" s="9">
        <f t="shared" si="1"/>
        <v>0.06</v>
      </c>
      <c r="F68" s="142">
        <f t="shared" si="0"/>
        <v>5.1430128318229462E-3</v>
      </c>
      <c r="G68" s="9">
        <f t="shared" si="1"/>
        <v>0.12</v>
      </c>
      <c r="H68" s="142">
        <f t="shared" si="2"/>
        <v>1.0596241035318976E-2</v>
      </c>
    </row>
    <row r="69" spans="2:8" x14ac:dyDescent="0.25">
      <c r="B69" s="3">
        <f t="shared" si="3"/>
        <v>66</v>
      </c>
      <c r="C69" s="9">
        <f t="shared" si="4"/>
        <v>0.06</v>
      </c>
      <c r="D69" s="142">
        <f t="shared" ref="D69:F132" si="5">1-(1-C69)^(1/12)</f>
        <v>5.1430128318229462E-3</v>
      </c>
      <c r="E69" s="9">
        <f t="shared" ref="E69:G132" si="6">MIN((E$2/100)*0.06,(E$2/100)*0.06*$B69/30)</f>
        <v>0.06</v>
      </c>
      <c r="F69" s="142">
        <f t="shared" si="5"/>
        <v>5.1430128318229462E-3</v>
      </c>
      <c r="G69" s="9">
        <f t="shared" si="6"/>
        <v>0.12</v>
      </c>
      <c r="H69" s="142">
        <f t="shared" ref="H69:H132" si="7">1-(1-G69)^(1/12)</f>
        <v>1.0596241035318976E-2</v>
      </c>
    </row>
    <row r="70" spans="2:8" x14ac:dyDescent="0.25">
      <c r="B70" s="3">
        <f t="shared" ref="B70:B133" si="8">1+B69</f>
        <v>67</v>
      </c>
      <c r="C70" s="9">
        <f t="shared" ref="C70:C133" si="9">C69</f>
        <v>0.06</v>
      </c>
      <c r="D70" s="142">
        <f t="shared" si="5"/>
        <v>5.1430128318229462E-3</v>
      </c>
      <c r="E70" s="9">
        <f t="shared" si="6"/>
        <v>0.06</v>
      </c>
      <c r="F70" s="142">
        <f t="shared" si="5"/>
        <v>5.1430128318229462E-3</v>
      </c>
      <c r="G70" s="9">
        <f t="shared" si="6"/>
        <v>0.12</v>
      </c>
      <c r="H70" s="142">
        <f t="shared" si="7"/>
        <v>1.0596241035318976E-2</v>
      </c>
    </row>
    <row r="71" spans="2:8" x14ac:dyDescent="0.25">
      <c r="B71" s="3">
        <f t="shared" si="8"/>
        <v>68</v>
      </c>
      <c r="C71" s="9">
        <f t="shared" si="9"/>
        <v>0.06</v>
      </c>
      <c r="D71" s="142">
        <f t="shared" si="5"/>
        <v>5.1430128318229462E-3</v>
      </c>
      <c r="E71" s="9">
        <f t="shared" si="6"/>
        <v>0.06</v>
      </c>
      <c r="F71" s="142">
        <f t="shared" si="5"/>
        <v>5.1430128318229462E-3</v>
      </c>
      <c r="G71" s="9">
        <f t="shared" si="6"/>
        <v>0.12</v>
      </c>
      <c r="H71" s="142">
        <f t="shared" si="7"/>
        <v>1.0596241035318976E-2</v>
      </c>
    </row>
    <row r="72" spans="2:8" x14ac:dyDescent="0.25">
      <c r="B72" s="3">
        <f t="shared" si="8"/>
        <v>69</v>
      </c>
      <c r="C72" s="9">
        <f t="shared" si="9"/>
        <v>0.06</v>
      </c>
      <c r="D72" s="142">
        <f t="shared" si="5"/>
        <v>5.1430128318229462E-3</v>
      </c>
      <c r="E72" s="9">
        <f t="shared" si="6"/>
        <v>0.06</v>
      </c>
      <c r="F72" s="142">
        <f t="shared" si="5"/>
        <v>5.1430128318229462E-3</v>
      </c>
      <c r="G72" s="9">
        <f t="shared" si="6"/>
        <v>0.12</v>
      </c>
      <c r="H72" s="142">
        <f t="shared" si="7"/>
        <v>1.0596241035318976E-2</v>
      </c>
    </row>
    <row r="73" spans="2:8" x14ac:dyDescent="0.25">
      <c r="B73" s="3">
        <f t="shared" si="8"/>
        <v>70</v>
      </c>
      <c r="C73" s="9">
        <f t="shared" si="9"/>
        <v>0.06</v>
      </c>
      <c r="D73" s="142">
        <f t="shared" si="5"/>
        <v>5.1430128318229462E-3</v>
      </c>
      <c r="E73" s="9">
        <f t="shared" si="6"/>
        <v>0.06</v>
      </c>
      <c r="F73" s="142">
        <f t="shared" si="5"/>
        <v>5.1430128318229462E-3</v>
      </c>
      <c r="G73" s="9">
        <f t="shared" si="6"/>
        <v>0.12</v>
      </c>
      <c r="H73" s="142">
        <f t="shared" si="7"/>
        <v>1.0596241035318976E-2</v>
      </c>
    </row>
    <row r="74" spans="2:8" x14ac:dyDescent="0.25">
      <c r="B74" s="3">
        <f t="shared" si="8"/>
        <v>71</v>
      </c>
      <c r="C74" s="9">
        <f t="shared" si="9"/>
        <v>0.06</v>
      </c>
      <c r="D74" s="142">
        <f t="shared" si="5"/>
        <v>5.1430128318229462E-3</v>
      </c>
      <c r="E74" s="9">
        <f t="shared" si="6"/>
        <v>0.06</v>
      </c>
      <c r="F74" s="142">
        <f t="shared" si="5"/>
        <v>5.1430128318229462E-3</v>
      </c>
      <c r="G74" s="9">
        <f t="shared" si="6"/>
        <v>0.12</v>
      </c>
      <c r="H74" s="142">
        <f t="shared" si="7"/>
        <v>1.0596241035318976E-2</v>
      </c>
    </row>
    <row r="75" spans="2:8" x14ac:dyDescent="0.25">
      <c r="B75" s="3">
        <f t="shared" si="8"/>
        <v>72</v>
      </c>
      <c r="C75" s="9">
        <f t="shared" si="9"/>
        <v>0.06</v>
      </c>
      <c r="D75" s="142">
        <f t="shared" si="5"/>
        <v>5.1430128318229462E-3</v>
      </c>
      <c r="E75" s="9">
        <f t="shared" si="6"/>
        <v>0.06</v>
      </c>
      <c r="F75" s="142">
        <f t="shared" si="5"/>
        <v>5.1430128318229462E-3</v>
      </c>
      <c r="G75" s="9">
        <f t="shared" si="6"/>
        <v>0.12</v>
      </c>
      <c r="H75" s="142">
        <f t="shared" si="7"/>
        <v>1.0596241035318976E-2</v>
      </c>
    </row>
    <row r="76" spans="2:8" x14ac:dyDescent="0.25">
      <c r="B76" s="3">
        <f t="shared" si="8"/>
        <v>73</v>
      </c>
      <c r="C76" s="9">
        <f t="shared" si="9"/>
        <v>0.06</v>
      </c>
      <c r="D76" s="142">
        <f t="shared" si="5"/>
        <v>5.1430128318229462E-3</v>
      </c>
      <c r="E76" s="9">
        <f t="shared" si="6"/>
        <v>0.06</v>
      </c>
      <c r="F76" s="142">
        <f t="shared" si="5"/>
        <v>5.1430128318229462E-3</v>
      </c>
      <c r="G76" s="9">
        <f t="shared" si="6"/>
        <v>0.12</v>
      </c>
      <c r="H76" s="142">
        <f t="shared" si="7"/>
        <v>1.0596241035318976E-2</v>
      </c>
    </row>
    <row r="77" spans="2:8" x14ac:dyDescent="0.25">
      <c r="B77" s="3">
        <f t="shared" si="8"/>
        <v>74</v>
      </c>
      <c r="C77" s="9">
        <f t="shared" si="9"/>
        <v>0.06</v>
      </c>
      <c r="D77" s="142">
        <f t="shared" si="5"/>
        <v>5.1430128318229462E-3</v>
      </c>
      <c r="E77" s="9">
        <f t="shared" si="6"/>
        <v>0.06</v>
      </c>
      <c r="F77" s="142">
        <f t="shared" si="5"/>
        <v>5.1430128318229462E-3</v>
      </c>
      <c r="G77" s="9">
        <f t="shared" si="6"/>
        <v>0.12</v>
      </c>
      <c r="H77" s="142">
        <f t="shared" si="7"/>
        <v>1.0596241035318976E-2</v>
      </c>
    </row>
    <row r="78" spans="2:8" x14ac:dyDescent="0.25">
      <c r="B78" s="3">
        <f t="shared" si="8"/>
        <v>75</v>
      </c>
      <c r="C78" s="9">
        <f t="shared" si="9"/>
        <v>0.06</v>
      </c>
      <c r="D78" s="142">
        <f t="shared" si="5"/>
        <v>5.1430128318229462E-3</v>
      </c>
      <c r="E78" s="9">
        <f t="shared" si="6"/>
        <v>0.06</v>
      </c>
      <c r="F78" s="142">
        <f t="shared" si="5"/>
        <v>5.1430128318229462E-3</v>
      </c>
      <c r="G78" s="9">
        <f t="shared" si="6"/>
        <v>0.12</v>
      </c>
      <c r="H78" s="142">
        <f t="shared" si="7"/>
        <v>1.0596241035318976E-2</v>
      </c>
    </row>
    <row r="79" spans="2:8" x14ac:dyDescent="0.25">
      <c r="B79" s="3">
        <f t="shared" si="8"/>
        <v>76</v>
      </c>
      <c r="C79" s="9">
        <f t="shared" si="9"/>
        <v>0.06</v>
      </c>
      <c r="D79" s="142">
        <f t="shared" si="5"/>
        <v>5.1430128318229462E-3</v>
      </c>
      <c r="E79" s="9">
        <f t="shared" si="6"/>
        <v>0.06</v>
      </c>
      <c r="F79" s="142">
        <f t="shared" si="5"/>
        <v>5.1430128318229462E-3</v>
      </c>
      <c r="G79" s="9">
        <f t="shared" si="6"/>
        <v>0.12</v>
      </c>
      <c r="H79" s="142">
        <f t="shared" si="7"/>
        <v>1.0596241035318976E-2</v>
      </c>
    </row>
    <row r="80" spans="2:8" x14ac:dyDescent="0.25">
      <c r="B80" s="3">
        <f t="shared" si="8"/>
        <v>77</v>
      </c>
      <c r="C80" s="9">
        <f t="shared" si="9"/>
        <v>0.06</v>
      </c>
      <c r="D80" s="142">
        <f t="shared" si="5"/>
        <v>5.1430128318229462E-3</v>
      </c>
      <c r="E80" s="9">
        <f t="shared" si="6"/>
        <v>0.06</v>
      </c>
      <c r="F80" s="142">
        <f t="shared" si="5"/>
        <v>5.1430128318229462E-3</v>
      </c>
      <c r="G80" s="9">
        <f t="shared" si="6"/>
        <v>0.12</v>
      </c>
      <c r="H80" s="142">
        <f t="shared" si="7"/>
        <v>1.0596241035318976E-2</v>
      </c>
    </row>
    <row r="81" spans="2:8" x14ac:dyDescent="0.25">
      <c r="B81" s="3">
        <f t="shared" si="8"/>
        <v>78</v>
      </c>
      <c r="C81" s="9">
        <f t="shared" si="9"/>
        <v>0.06</v>
      </c>
      <c r="D81" s="142">
        <f t="shared" si="5"/>
        <v>5.1430128318229462E-3</v>
      </c>
      <c r="E81" s="9">
        <f t="shared" si="6"/>
        <v>0.06</v>
      </c>
      <c r="F81" s="142">
        <f t="shared" si="5"/>
        <v>5.1430128318229462E-3</v>
      </c>
      <c r="G81" s="9">
        <f t="shared" si="6"/>
        <v>0.12</v>
      </c>
      <c r="H81" s="142">
        <f t="shared" si="7"/>
        <v>1.0596241035318976E-2</v>
      </c>
    </row>
    <row r="82" spans="2:8" x14ac:dyDescent="0.25">
      <c r="B82" s="3">
        <f t="shared" si="8"/>
        <v>79</v>
      </c>
      <c r="C82" s="9">
        <f t="shared" si="9"/>
        <v>0.06</v>
      </c>
      <c r="D82" s="142">
        <f t="shared" si="5"/>
        <v>5.1430128318229462E-3</v>
      </c>
      <c r="E82" s="9">
        <f t="shared" si="6"/>
        <v>0.06</v>
      </c>
      <c r="F82" s="142">
        <f t="shared" si="5"/>
        <v>5.1430128318229462E-3</v>
      </c>
      <c r="G82" s="9">
        <f t="shared" si="6"/>
        <v>0.12</v>
      </c>
      <c r="H82" s="142">
        <f t="shared" si="7"/>
        <v>1.0596241035318976E-2</v>
      </c>
    </row>
    <row r="83" spans="2:8" x14ac:dyDescent="0.25">
      <c r="B83" s="3">
        <f t="shared" si="8"/>
        <v>80</v>
      </c>
      <c r="C83" s="9">
        <f t="shared" si="9"/>
        <v>0.06</v>
      </c>
      <c r="D83" s="142">
        <f t="shared" si="5"/>
        <v>5.1430128318229462E-3</v>
      </c>
      <c r="E83" s="9">
        <f t="shared" si="6"/>
        <v>0.06</v>
      </c>
      <c r="F83" s="142">
        <f t="shared" si="5"/>
        <v>5.1430128318229462E-3</v>
      </c>
      <c r="G83" s="9">
        <f t="shared" si="6"/>
        <v>0.12</v>
      </c>
      <c r="H83" s="142">
        <f t="shared" si="7"/>
        <v>1.0596241035318976E-2</v>
      </c>
    </row>
    <row r="84" spans="2:8" x14ac:dyDescent="0.25">
      <c r="B84" s="3">
        <f t="shared" si="8"/>
        <v>81</v>
      </c>
      <c r="C84" s="9">
        <f t="shared" si="9"/>
        <v>0.06</v>
      </c>
      <c r="D84" s="142">
        <f t="shared" si="5"/>
        <v>5.1430128318229462E-3</v>
      </c>
      <c r="E84" s="9">
        <f t="shared" si="6"/>
        <v>0.06</v>
      </c>
      <c r="F84" s="142">
        <f t="shared" si="5"/>
        <v>5.1430128318229462E-3</v>
      </c>
      <c r="G84" s="9">
        <f t="shared" si="6"/>
        <v>0.12</v>
      </c>
      <c r="H84" s="142">
        <f t="shared" si="7"/>
        <v>1.0596241035318976E-2</v>
      </c>
    </row>
    <row r="85" spans="2:8" x14ac:dyDescent="0.25">
      <c r="B85" s="3">
        <f t="shared" si="8"/>
        <v>82</v>
      </c>
      <c r="C85" s="9">
        <f t="shared" si="9"/>
        <v>0.06</v>
      </c>
      <c r="D85" s="142">
        <f t="shared" si="5"/>
        <v>5.1430128318229462E-3</v>
      </c>
      <c r="E85" s="9">
        <f t="shared" si="6"/>
        <v>0.06</v>
      </c>
      <c r="F85" s="142">
        <f t="shared" si="5"/>
        <v>5.1430128318229462E-3</v>
      </c>
      <c r="G85" s="9">
        <f t="shared" si="6"/>
        <v>0.12</v>
      </c>
      <c r="H85" s="142">
        <f t="shared" si="7"/>
        <v>1.0596241035318976E-2</v>
      </c>
    </row>
    <row r="86" spans="2:8" x14ac:dyDescent="0.25">
      <c r="B86" s="3">
        <f t="shared" si="8"/>
        <v>83</v>
      </c>
      <c r="C86" s="9">
        <f t="shared" si="9"/>
        <v>0.06</v>
      </c>
      <c r="D86" s="142">
        <f t="shared" si="5"/>
        <v>5.1430128318229462E-3</v>
      </c>
      <c r="E86" s="9">
        <f t="shared" si="6"/>
        <v>0.06</v>
      </c>
      <c r="F86" s="142">
        <f t="shared" si="5"/>
        <v>5.1430128318229462E-3</v>
      </c>
      <c r="G86" s="9">
        <f t="shared" si="6"/>
        <v>0.12</v>
      </c>
      <c r="H86" s="142">
        <f t="shared" si="7"/>
        <v>1.0596241035318976E-2</v>
      </c>
    </row>
    <row r="87" spans="2:8" x14ac:dyDescent="0.25">
      <c r="B87" s="3">
        <f t="shared" si="8"/>
        <v>84</v>
      </c>
      <c r="C87" s="9">
        <f t="shared" si="9"/>
        <v>0.06</v>
      </c>
      <c r="D87" s="142">
        <f t="shared" si="5"/>
        <v>5.1430128318229462E-3</v>
      </c>
      <c r="E87" s="9">
        <f t="shared" si="6"/>
        <v>0.06</v>
      </c>
      <c r="F87" s="142">
        <f t="shared" si="5"/>
        <v>5.1430128318229462E-3</v>
      </c>
      <c r="G87" s="9">
        <f t="shared" si="6"/>
        <v>0.12</v>
      </c>
      <c r="H87" s="142">
        <f t="shared" si="7"/>
        <v>1.0596241035318976E-2</v>
      </c>
    </row>
    <row r="88" spans="2:8" x14ac:dyDescent="0.25">
      <c r="B88" s="3">
        <f t="shared" si="8"/>
        <v>85</v>
      </c>
      <c r="C88" s="9">
        <f t="shared" si="9"/>
        <v>0.06</v>
      </c>
      <c r="D88" s="142">
        <f t="shared" si="5"/>
        <v>5.1430128318229462E-3</v>
      </c>
      <c r="E88" s="9">
        <f t="shared" si="6"/>
        <v>0.06</v>
      </c>
      <c r="F88" s="142">
        <f t="shared" si="5"/>
        <v>5.1430128318229462E-3</v>
      </c>
      <c r="G88" s="9">
        <f t="shared" si="6"/>
        <v>0.12</v>
      </c>
      <c r="H88" s="142">
        <f t="shared" si="7"/>
        <v>1.0596241035318976E-2</v>
      </c>
    </row>
    <row r="89" spans="2:8" x14ac:dyDescent="0.25">
      <c r="B89" s="3">
        <f t="shared" si="8"/>
        <v>86</v>
      </c>
      <c r="C89" s="9">
        <f t="shared" si="9"/>
        <v>0.06</v>
      </c>
      <c r="D89" s="142">
        <f t="shared" si="5"/>
        <v>5.1430128318229462E-3</v>
      </c>
      <c r="E89" s="9">
        <f t="shared" si="6"/>
        <v>0.06</v>
      </c>
      <c r="F89" s="142">
        <f t="shared" si="5"/>
        <v>5.1430128318229462E-3</v>
      </c>
      <c r="G89" s="9">
        <f t="shared" si="6"/>
        <v>0.12</v>
      </c>
      <c r="H89" s="142">
        <f t="shared" si="7"/>
        <v>1.0596241035318976E-2</v>
      </c>
    </row>
    <row r="90" spans="2:8" x14ac:dyDescent="0.25">
      <c r="B90" s="3">
        <f t="shared" si="8"/>
        <v>87</v>
      </c>
      <c r="C90" s="9">
        <f t="shared" si="9"/>
        <v>0.06</v>
      </c>
      <c r="D90" s="142">
        <f t="shared" si="5"/>
        <v>5.1430128318229462E-3</v>
      </c>
      <c r="E90" s="9">
        <f t="shared" si="6"/>
        <v>0.06</v>
      </c>
      <c r="F90" s="142">
        <f t="shared" si="5"/>
        <v>5.1430128318229462E-3</v>
      </c>
      <c r="G90" s="9">
        <f t="shared" si="6"/>
        <v>0.12</v>
      </c>
      <c r="H90" s="142">
        <f t="shared" si="7"/>
        <v>1.0596241035318976E-2</v>
      </c>
    </row>
    <row r="91" spans="2:8" x14ac:dyDescent="0.25">
      <c r="B91" s="3">
        <f t="shared" si="8"/>
        <v>88</v>
      </c>
      <c r="C91" s="9">
        <f t="shared" si="9"/>
        <v>0.06</v>
      </c>
      <c r="D91" s="142">
        <f t="shared" si="5"/>
        <v>5.1430128318229462E-3</v>
      </c>
      <c r="E91" s="9">
        <f t="shared" si="6"/>
        <v>0.06</v>
      </c>
      <c r="F91" s="142">
        <f t="shared" si="5"/>
        <v>5.1430128318229462E-3</v>
      </c>
      <c r="G91" s="9">
        <f t="shared" si="6"/>
        <v>0.12</v>
      </c>
      <c r="H91" s="142">
        <f t="shared" si="7"/>
        <v>1.0596241035318976E-2</v>
      </c>
    </row>
    <row r="92" spans="2:8" x14ac:dyDescent="0.25">
      <c r="B92" s="3">
        <f t="shared" si="8"/>
        <v>89</v>
      </c>
      <c r="C92" s="9">
        <f t="shared" si="9"/>
        <v>0.06</v>
      </c>
      <c r="D92" s="142">
        <f t="shared" si="5"/>
        <v>5.1430128318229462E-3</v>
      </c>
      <c r="E92" s="9">
        <f t="shared" si="6"/>
        <v>0.06</v>
      </c>
      <c r="F92" s="142">
        <f t="shared" si="5"/>
        <v>5.1430128318229462E-3</v>
      </c>
      <c r="G92" s="9">
        <f t="shared" si="6"/>
        <v>0.12</v>
      </c>
      <c r="H92" s="142">
        <f t="shared" si="7"/>
        <v>1.0596241035318976E-2</v>
      </c>
    </row>
    <row r="93" spans="2:8" x14ac:dyDescent="0.25">
      <c r="B93" s="3">
        <f t="shared" si="8"/>
        <v>90</v>
      </c>
      <c r="C93" s="9">
        <f t="shared" si="9"/>
        <v>0.06</v>
      </c>
      <c r="D93" s="142">
        <f t="shared" si="5"/>
        <v>5.1430128318229462E-3</v>
      </c>
      <c r="E93" s="9">
        <f t="shared" si="6"/>
        <v>0.06</v>
      </c>
      <c r="F93" s="142">
        <f t="shared" si="5"/>
        <v>5.1430128318229462E-3</v>
      </c>
      <c r="G93" s="9">
        <f t="shared" si="6"/>
        <v>0.12</v>
      </c>
      <c r="H93" s="142">
        <f t="shared" si="7"/>
        <v>1.0596241035318976E-2</v>
      </c>
    </row>
    <row r="94" spans="2:8" x14ac:dyDescent="0.25">
      <c r="B94" s="3">
        <f t="shared" si="8"/>
        <v>91</v>
      </c>
      <c r="C94" s="9">
        <f t="shared" si="9"/>
        <v>0.06</v>
      </c>
      <c r="D94" s="142">
        <f t="shared" si="5"/>
        <v>5.1430128318229462E-3</v>
      </c>
      <c r="E94" s="9">
        <f t="shared" si="6"/>
        <v>0.06</v>
      </c>
      <c r="F94" s="142">
        <f t="shared" si="5"/>
        <v>5.1430128318229462E-3</v>
      </c>
      <c r="G94" s="9">
        <f t="shared" si="6"/>
        <v>0.12</v>
      </c>
      <c r="H94" s="142">
        <f t="shared" si="7"/>
        <v>1.0596241035318976E-2</v>
      </c>
    </row>
    <row r="95" spans="2:8" x14ac:dyDescent="0.25">
      <c r="B95" s="3">
        <f t="shared" si="8"/>
        <v>92</v>
      </c>
      <c r="C95" s="9">
        <f t="shared" si="9"/>
        <v>0.06</v>
      </c>
      <c r="D95" s="142">
        <f t="shared" si="5"/>
        <v>5.1430128318229462E-3</v>
      </c>
      <c r="E95" s="9">
        <f t="shared" si="6"/>
        <v>0.06</v>
      </c>
      <c r="F95" s="142">
        <f t="shared" si="5"/>
        <v>5.1430128318229462E-3</v>
      </c>
      <c r="G95" s="9">
        <f t="shared" si="6"/>
        <v>0.12</v>
      </c>
      <c r="H95" s="142">
        <f t="shared" si="7"/>
        <v>1.0596241035318976E-2</v>
      </c>
    </row>
    <row r="96" spans="2:8" x14ac:dyDescent="0.25">
      <c r="B96" s="3">
        <f t="shared" si="8"/>
        <v>93</v>
      </c>
      <c r="C96" s="9">
        <f t="shared" si="9"/>
        <v>0.06</v>
      </c>
      <c r="D96" s="142">
        <f t="shared" si="5"/>
        <v>5.1430128318229462E-3</v>
      </c>
      <c r="E96" s="9">
        <f t="shared" si="6"/>
        <v>0.06</v>
      </c>
      <c r="F96" s="142">
        <f t="shared" si="5"/>
        <v>5.1430128318229462E-3</v>
      </c>
      <c r="G96" s="9">
        <f t="shared" si="6"/>
        <v>0.12</v>
      </c>
      <c r="H96" s="142">
        <f t="shared" si="7"/>
        <v>1.0596241035318976E-2</v>
      </c>
    </row>
    <row r="97" spans="2:8" x14ac:dyDescent="0.25">
      <c r="B97" s="3">
        <f t="shared" si="8"/>
        <v>94</v>
      </c>
      <c r="C97" s="9">
        <f t="shared" si="9"/>
        <v>0.06</v>
      </c>
      <c r="D97" s="142">
        <f t="shared" si="5"/>
        <v>5.1430128318229462E-3</v>
      </c>
      <c r="E97" s="9">
        <f t="shared" si="6"/>
        <v>0.06</v>
      </c>
      <c r="F97" s="142">
        <f t="shared" si="5"/>
        <v>5.1430128318229462E-3</v>
      </c>
      <c r="G97" s="9">
        <f t="shared" si="6"/>
        <v>0.12</v>
      </c>
      <c r="H97" s="142">
        <f t="shared" si="7"/>
        <v>1.0596241035318976E-2</v>
      </c>
    </row>
    <row r="98" spans="2:8" x14ac:dyDescent="0.25">
      <c r="B98" s="3">
        <f t="shared" si="8"/>
        <v>95</v>
      </c>
      <c r="C98" s="9">
        <f t="shared" si="9"/>
        <v>0.06</v>
      </c>
      <c r="D98" s="142">
        <f t="shared" si="5"/>
        <v>5.1430128318229462E-3</v>
      </c>
      <c r="E98" s="9">
        <f t="shared" si="6"/>
        <v>0.06</v>
      </c>
      <c r="F98" s="142">
        <f t="shared" si="5"/>
        <v>5.1430128318229462E-3</v>
      </c>
      <c r="G98" s="9">
        <f t="shared" si="6"/>
        <v>0.12</v>
      </c>
      <c r="H98" s="142">
        <f t="shared" si="7"/>
        <v>1.0596241035318976E-2</v>
      </c>
    </row>
    <row r="99" spans="2:8" x14ac:dyDescent="0.25">
      <c r="B99" s="3">
        <f t="shared" si="8"/>
        <v>96</v>
      </c>
      <c r="C99" s="9">
        <f t="shared" si="9"/>
        <v>0.06</v>
      </c>
      <c r="D99" s="142">
        <f t="shared" si="5"/>
        <v>5.1430128318229462E-3</v>
      </c>
      <c r="E99" s="9">
        <f t="shared" si="6"/>
        <v>0.06</v>
      </c>
      <c r="F99" s="142">
        <f t="shared" si="5"/>
        <v>5.1430128318229462E-3</v>
      </c>
      <c r="G99" s="9">
        <f t="shared" si="6"/>
        <v>0.12</v>
      </c>
      <c r="H99" s="142">
        <f t="shared" si="7"/>
        <v>1.0596241035318976E-2</v>
      </c>
    </row>
    <row r="100" spans="2:8" x14ac:dyDescent="0.25">
      <c r="B100" s="3">
        <f t="shared" si="8"/>
        <v>97</v>
      </c>
      <c r="C100" s="9">
        <f t="shared" si="9"/>
        <v>0.06</v>
      </c>
      <c r="D100" s="142">
        <f t="shared" si="5"/>
        <v>5.1430128318229462E-3</v>
      </c>
      <c r="E100" s="9">
        <f t="shared" si="6"/>
        <v>0.06</v>
      </c>
      <c r="F100" s="142">
        <f t="shared" si="5"/>
        <v>5.1430128318229462E-3</v>
      </c>
      <c r="G100" s="9">
        <f t="shared" si="6"/>
        <v>0.12</v>
      </c>
      <c r="H100" s="142">
        <f t="shared" si="7"/>
        <v>1.0596241035318976E-2</v>
      </c>
    </row>
    <row r="101" spans="2:8" x14ac:dyDescent="0.25">
      <c r="B101" s="3">
        <f t="shared" si="8"/>
        <v>98</v>
      </c>
      <c r="C101" s="9">
        <f t="shared" si="9"/>
        <v>0.06</v>
      </c>
      <c r="D101" s="142">
        <f t="shared" si="5"/>
        <v>5.1430128318229462E-3</v>
      </c>
      <c r="E101" s="9">
        <f t="shared" si="6"/>
        <v>0.06</v>
      </c>
      <c r="F101" s="142">
        <f t="shared" si="5"/>
        <v>5.1430128318229462E-3</v>
      </c>
      <c r="G101" s="9">
        <f t="shared" si="6"/>
        <v>0.12</v>
      </c>
      <c r="H101" s="142">
        <f t="shared" si="7"/>
        <v>1.0596241035318976E-2</v>
      </c>
    </row>
    <row r="102" spans="2:8" x14ac:dyDescent="0.25">
      <c r="B102" s="3">
        <f t="shared" si="8"/>
        <v>99</v>
      </c>
      <c r="C102" s="9">
        <f t="shared" si="9"/>
        <v>0.06</v>
      </c>
      <c r="D102" s="142">
        <f t="shared" si="5"/>
        <v>5.1430128318229462E-3</v>
      </c>
      <c r="E102" s="9">
        <f t="shared" si="6"/>
        <v>0.06</v>
      </c>
      <c r="F102" s="142">
        <f t="shared" si="5"/>
        <v>5.1430128318229462E-3</v>
      </c>
      <c r="G102" s="9">
        <f t="shared" si="6"/>
        <v>0.12</v>
      </c>
      <c r="H102" s="142">
        <f t="shared" si="7"/>
        <v>1.0596241035318976E-2</v>
      </c>
    </row>
    <row r="103" spans="2:8" x14ac:dyDescent="0.25">
      <c r="B103" s="3">
        <f t="shared" si="8"/>
        <v>100</v>
      </c>
      <c r="C103" s="9">
        <f t="shared" si="9"/>
        <v>0.06</v>
      </c>
      <c r="D103" s="142">
        <f t="shared" si="5"/>
        <v>5.1430128318229462E-3</v>
      </c>
      <c r="E103" s="9">
        <f t="shared" si="6"/>
        <v>0.06</v>
      </c>
      <c r="F103" s="142">
        <f t="shared" si="5"/>
        <v>5.1430128318229462E-3</v>
      </c>
      <c r="G103" s="9">
        <f t="shared" si="6"/>
        <v>0.12</v>
      </c>
      <c r="H103" s="142">
        <f t="shared" si="7"/>
        <v>1.0596241035318976E-2</v>
      </c>
    </row>
    <row r="104" spans="2:8" x14ac:dyDescent="0.25">
      <c r="B104" s="3">
        <f t="shared" si="8"/>
        <v>101</v>
      </c>
      <c r="C104" s="9">
        <f t="shared" si="9"/>
        <v>0.06</v>
      </c>
      <c r="D104" s="142">
        <f t="shared" si="5"/>
        <v>5.1430128318229462E-3</v>
      </c>
      <c r="E104" s="9">
        <f t="shared" si="6"/>
        <v>0.06</v>
      </c>
      <c r="F104" s="142">
        <f t="shared" si="5"/>
        <v>5.1430128318229462E-3</v>
      </c>
      <c r="G104" s="9">
        <f t="shared" si="6"/>
        <v>0.12</v>
      </c>
      <c r="H104" s="142">
        <f t="shared" si="7"/>
        <v>1.0596241035318976E-2</v>
      </c>
    </row>
    <row r="105" spans="2:8" x14ac:dyDescent="0.25">
      <c r="B105" s="3">
        <f t="shared" si="8"/>
        <v>102</v>
      </c>
      <c r="C105" s="9">
        <f t="shared" si="9"/>
        <v>0.06</v>
      </c>
      <c r="D105" s="142">
        <f t="shared" si="5"/>
        <v>5.1430128318229462E-3</v>
      </c>
      <c r="E105" s="9">
        <f t="shared" si="6"/>
        <v>0.06</v>
      </c>
      <c r="F105" s="142">
        <f t="shared" si="5"/>
        <v>5.1430128318229462E-3</v>
      </c>
      <c r="G105" s="9">
        <f t="shared" si="6"/>
        <v>0.12</v>
      </c>
      <c r="H105" s="142">
        <f t="shared" si="7"/>
        <v>1.0596241035318976E-2</v>
      </c>
    </row>
    <row r="106" spans="2:8" x14ac:dyDescent="0.25">
      <c r="B106" s="3">
        <f t="shared" si="8"/>
        <v>103</v>
      </c>
      <c r="C106" s="9">
        <f t="shared" si="9"/>
        <v>0.06</v>
      </c>
      <c r="D106" s="142">
        <f t="shared" si="5"/>
        <v>5.1430128318229462E-3</v>
      </c>
      <c r="E106" s="9">
        <f t="shared" si="6"/>
        <v>0.06</v>
      </c>
      <c r="F106" s="142">
        <f t="shared" si="5"/>
        <v>5.1430128318229462E-3</v>
      </c>
      <c r="G106" s="9">
        <f t="shared" si="6"/>
        <v>0.12</v>
      </c>
      <c r="H106" s="142">
        <f t="shared" si="7"/>
        <v>1.0596241035318976E-2</v>
      </c>
    </row>
    <row r="107" spans="2:8" x14ac:dyDescent="0.25">
      <c r="B107" s="3">
        <f t="shared" si="8"/>
        <v>104</v>
      </c>
      <c r="C107" s="9">
        <f t="shared" si="9"/>
        <v>0.06</v>
      </c>
      <c r="D107" s="142">
        <f t="shared" si="5"/>
        <v>5.1430128318229462E-3</v>
      </c>
      <c r="E107" s="9">
        <f t="shared" si="6"/>
        <v>0.06</v>
      </c>
      <c r="F107" s="142">
        <f t="shared" si="5"/>
        <v>5.1430128318229462E-3</v>
      </c>
      <c r="G107" s="9">
        <f t="shared" si="6"/>
        <v>0.12</v>
      </c>
      <c r="H107" s="142">
        <f t="shared" si="7"/>
        <v>1.0596241035318976E-2</v>
      </c>
    </row>
    <row r="108" spans="2:8" x14ac:dyDescent="0.25">
      <c r="B108" s="3">
        <f t="shared" si="8"/>
        <v>105</v>
      </c>
      <c r="C108" s="9">
        <f t="shared" si="9"/>
        <v>0.06</v>
      </c>
      <c r="D108" s="142">
        <f t="shared" si="5"/>
        <v>5.1430128318229462E-3</v>
      </c>
      <c r="E108" s="9">
        <f t="shared" si="6"/>
        <v>0.06</v>
      </c>
      <c r="F108" s="142">
        <f t="shared" si="5"/>
        <v>5.1430128318229462E-3</v>
      </c>
      <c r="G108" s="9">
        <f t="shared" si="6"/>
        <v>0.12</v>
      </c>
      <c r="H108" s="142">
        <f t="shared" si="7"/>
        <v>1.0596241035318976E-2</v>
      </c>
    </row>
    <row r="109" spans="2:8" x14ac:dyDescent="0.25">
      <c r="B109" s="3">
        <f t="shared" si="8"/>
        <v>106</v>
      </c>
      <c r="C109" s="9">
        <f t="shared" si="9"/>
        <v>0.06</v>
      </c>
      <c r="D109" s="142">
        <f t="shared" si="5"/>
        <v>5.1430128318229462E-3</v>
      </c>
      <c r="E109" s="9">
        <f t="shared" si="6"/>
        <v>0.06</v>
      </c>
      <c r="F109" s="142">
        <f t="shared" si="5"/>
        <v>5.1430128318229462E-3</v>
      </c>
      <c r="G109" s="9">
        <f t="shared" si="6"/>
        <v>0.12</v>
      </c>
      <c r="H109" s="142">
        <f t="shared" si="7"/>
        <v>1.0596241035318976E-2</v>
      </c>
    </row>
    <row r="110" spans="2:8" x14ac:dyDescent="0.25">
      <c r="B110" s="3">
        <f t="shared" si="8"/>
        <v>107</v>
      </c>
      <c r="C110" s="9">
        <f t="shared" si="9"/>
        <v>0.06</v>
      </c>
      <c r="D110" s="142">
        <f t="shared" si="5"/>
        <v>5.1430128318229462E-3</v>
      </c>
      <c r="E110" s="9">
        <f t="shared" si="6"/>
        <v>0.06</v>
      </c>
      <c r="F110" s="142">
        <f t="shared" si="5"/>
        <v>5.1430128318229462E-3</v>
      </c>
      <c r="G110" s="9">
        <f t="shared" si="6"/>
        <v>0.12</v>
      </c>
      <c r="H110" s="142">
        <f t="shared" si="7"/>
        <v>1.0596241035318976E-2</v>
      </c>
    </row>
    <row r="111" spans="2:8" x14ac:dyDescent="0.25">
      <c r="B111" s="3">
        <f t="shared" si="8"/>
        <v>108</v>
      </c>
      <c r="C111" s="9">
        <f t="shared" si="9"/>
        <v>0.06</v>
      </c>
      <c r="D111" s="142">
        <f t="shared" si="5"/>
        <v>5.1430128318229462E-3</v>
      </c>
      <c r="E111" s="9">
        <f t="shared" si="6"/>
        <v>0.06</v>
      </c>
      <c r="F111" s="142">
        <f t="shared" si="5"/>
        <v>5.1430128318229462E-3</v>
      </c>
      <c r="G111" s="9">
        <f t="shared" si="6"/>
        <v>0.12</v>
      </c>
      <c r="H111" s="142">
        <f t="shared" si="7"/>
        <v>1.0596241035318976E-2</v>
      </c>
    </row>
    <row r="112" spans="2:8" x14ac:dyDescent="0.25">
      <c r="B112" s="3">
        <f t="shared" si="8"/>
        <v>109</v>
      </c>
      <c r="C112" s="9">
        <f t="shared" si="9"/>
        <v>0.06</v>
      </c>
      <c r="D112" s="142">
        <f t="shared" si="5"/>
        <v>5.1430128318229462E-3</v>
      </c>
      <c r="E112" s="9">
        <f t="shared" si="6"/>
        <v>0.06</v>
      </c>
      <c r="F112" s="142">
        <f t="shared" si="5"/>
        <v>5.1430128318229462E-3</v>
      </c>
      <c r="G112" s="9">
        <f t="shared" si="6"/>
        <v>0.12</v>
      </c>
      <c r="H112" s="142">
        <f t="shared" si="7"/>
        <v>1.0596241035318976E-2</v>
      </c>
    </row>
    <row r="113" spans="2:8" x14ac:dyDescent="0.25">
      <c r="B113" s="3">
        <f t="shared" si="8"/>
        <v>110</v>
      </c>
      <c r="C113" s="9">
        <f t="shared" si="9"/>
        <v>0.06</v>
      </c>
      <c r="D113" s="142">
        <f t="shared" si="5"/>
        <v>5.1430128318229462E-3</v>
      </c>
      <c r="E113" s="9">
        <f t="shared" si="6"/>
        <v>0.06</v>
      </c>
      <c r="F113" s="142">
        <f t="shared" si="5"/>
        <v>5.1430128318229462E-3</v>
      </c>
      <c r="G113" s="9">
        <f t="shared" si="6"/>
        <v>0.12</v>
      </c>
      <c r="H113" s="142">
        <f t="shared" si="7"/>
        <v>1.0596241035318976E-2</v>
      </c>
    </row>
    <row r="114" spans="2:8" x14ac:dyDescent="0.25">
      <c r="B114" s="3">
        <f t="shared" si="8"/>
        <v>111</v>
      </c>
      <c r="C114" s="9">
        <f t="shared" si="9"/>
        <v>0.06</v>
      </c>
      <c r="D114" s="142">
        <f t="shared" si="5"/>
        <v>5.1430128318229462E-3</v>
      </c>
      <c r="E114" s="9">
        <f t="shared" si="6"/>
        <v>0.06</v>
      </c>
      <c r="F114" s="142">
        <f t="shared" si="5"/>
        <v>5.1430128318229462E-3</v>
      </c>
      <c r="G114" s="9">
        <f t="shared" si="6"/>
        <v>0.12</v>
      </c>
      <c r="H114" s="142">
        <f t="shared" si="7"/>
        <v>1.0596241035318976E-2</v>
      </c>
    </row>
    <row r="115" spans="2:8" x14ac:dyDescent="0.25">
      <c r="B115" s="3">
        <f t="shared" si="8"/>
        <v>112</v>
      </c>
      <c r="C115" s="9">
        <f t="shared" si="9"/>
        <v>0.06</v>
      </c>
      <c r="D115" s="142">
        <f t="shared" si="5"/>
        <v>5.1430128318229462E-3</v>
      </c>
      <c r="E115" s="9">
        <f t="shared" si="6"/>
        <v>0.06</v>
      </c>
      <c r="F115" s="142">
        <f t="shared" si="5"/>
        <v>5.1430128318229462E-3</v>
      </c>
      <c r="G115" s="9">
        <f t="shared" si="6"/>
        <v>0.12</v>
      </c>
      <c r="H115" s="142">
        <f t="shared" si="7"/>
        <v>1.0596241035318976E-2</v>
      </c>
    </row>
    <row r="116" spans="2:8" x14ac:dyDescent="0.25">
      <c r="B116" s="3">
        <f t="shared" si="8"/>
        <v>113</v>
      </c>
      <c r="C116" s="9">
        <f t="shared" si="9"/>
        <v>0.06</v>
      </c>
      <c r="D116" s="142">
        <f t="shared" si="5"/>
        <v>5.1430128318229462E-3</v>
      </c>
      <c r="E116" s="9">
        <f t="shared" si="6"/>
        <v>0.06</v>
      </c>
      <c r="F116" s="142">
        <f t="shared" si="5"/>
        <v>5.1430128318229462E-3</v>
      </c>
      <c r="G116" s="9">
        <f t="shared" si="6"/>
        <v>0.12</v>
      </c>
      <c r="H116" s="142">
        <f t="shared" si="7"/>
        <v>1.0596241035318976E-2</v>
      </c>
    </row>
    <row r="117" spans="2:8" x14ac:dyDescent="0.25">
      <c r="B117" s="3">
        <f t="shared" si="8"/>
        <v>114</v>
      </c>
      <c r="C117" s="9">
        <f t="shared" si="9"/>
        <v>0.06</v>
      </c>
      <c r="D117" s="142">
        <f t="shared" si="5"/>
        <v>5.1430128318229462E-3</v>
      </c>
      <c r="E117" s="9">
        <f t="shared" si="6"/>
        <v>0.06</v>
      </c>
      <c r="F117" s="142">
        <f t="shared" si="5"/>
        <v>5.1430128318229462E-3</v>
      </c>
      <c r="G117" s="9">
        <f t="shared" si="6"/>
        <v>0.12</v>
      </c>
      <c r="H117" s="142">
        <f t="shared" si="7"/>
        <v>1.0596241035318976E-2</v>
      </c>
    </row>
    <row r="118" spans="2:8" x14ac:dyDescent="0.25">
      <c r="B118" s="3">
        <f t="shared" si="8"/>
        <v>115</v>
      </c>
      <c r="C118" s="9">
        <f t="shared" si="9"/>
        <v>0.06</v>
      </c>
      <c r="D118" s="142">
        <f t="shared" si="5"/>
        <v>5.1430128318229462E-3</v>
      </c>
      <c r="E118" s="9">
        <f t="shared" si="6"/>
        <v>0.06</v>
      </c>
      <c r="F118" s="142">
        <f t="shared" si="5"/>
        <v>5.1430128318229462E-3</v>
      </c>
      <c r="G118" s="9">
        <f t="shared" si="6"/>
        <v>0.12</v>
      </c>
      <c r="H118" s="142">
        <f t="shared" si="7"/>
        <v>1.0596241035318976E-2</v>
      </c>
    </row>
    <row r="119" spans="2:8" x14ac:dyDescent="0.25">
      <c r="B119" s="3">
        <f t="shared" si="8"/>
        <v>116</v>
      </c>
      <c r="C119" s="9">
        <f t="shared" si="9"/>
        <v>0.06</v>
      </c>
      <c r="D119" s="142">
        <f t="shared" si="5"/>
        <v>5.1430128318229462E-3</v>
      </c>
      <c r="E119" s="9">
        <f t="shared" si="6"/>
        <v>0.06</v>
      </c>
      <c r="F119" s="142">
        <f t="shared" si="5"/>
        <v>5.1430128318229462E-3</v>
      </c>
      <c r="G119" s="9">
        <f t="shared" si="6"/>
        <v>0.12</v>
      </c>
      <c r="H119" s="142">
        <f t="shared" si="7"/>
        <v>1.0596241035318976E-2</v>
      </c>
    </row>
    <row r="120" spans="2:8" x14ac:dyDescent="0.25">
      <c r="B120" s="3">
        <f t="shared" si="8"/>
        <v>117</v>
      </c>
      <c r="C120" s="9">
        <f t="shared" si="9"/>
        <v>0.06</v>
      </c>
      <c r="D120" s="142">
        <f t="shared" si="5"/>
        <v>5.1430128318229462E-3</v>
      </c>
      <c r="E120" s="9">
        <f t="shared" si="6"/>
        <v>0.06</v>
      </c>
      <c r="F120" s="142">
        <f t="shared" si="5"/>
        <v>5.1430128318229462E-3</v>
      </c>
      <c r="G120" s="9">
        <f t="shared" si="6"/>
        <v>0.12</v>
      </c>
      <c r="H120" s="142">
        <f t="shared" si="7"/>
        <v>1.0596241035318976E-2</v>
      </c>
    </row>
    <row r="121" spans="2:8" x14ac:dyDescent="0.25">
      <c r="B121" s="3">
        <f t="shared" si="8"/>
        <v>118</v>
      </c>
      <c r="C121" s="9">
        <f t="shared" si="9"/>
        <v>0.06</v>
      </c>
      <c r="D121" s="142">
        <f t="shared" si="5"/>
        <v>5.1430128318229462E-3</v>
      </c>
      <c r="E121" s="9">
        <f t="shared" si="6"/>
        <v>0.06</v>
      </c>
      <c r="F121" s="142">
        <f t="shared" si="5"/>
        <v>5.1430128318229462E-3</v>
      </c>
      <c r="G121" s="9">
        <f t="shared" si="6"/>
        <v>0.12</v>
      </c>
      <c r="H121" s="142">
        <f t="shared" si="7"/>
        <v>1.0596241035318976E-2</v>
      </c>
    </row>
    <row r="122" spans="2:8" x14ac:dyDescent="0.25">
      <c r="B122" s="3">
        <f t="shared" si="8"/>
        <v>119</v>
      </c>
      <c r="C122" s="9">
        <f t="shared" si="9"/>
        <v>0.06</v>
      </c>
      <c r="D122" s="142">
        <f t="shared" si="5"/>
        <v>5.1430128318229462E-3</v>
      </c>
      <c r="E122" s="9">
        <f t="shared" si="6"/>
        <v>0.06</v>
      </c>
      <c r="F122" s="142">
        <f t="shared" si="5"/>
        <v>5.1430128318229462E-3</v>
      </c>
      <c r="G122" s="9">
        <f t="shared" si="6"/>
        <v>0.12</v>
      </c>
      <c r="H122" s="142">
        <f t="shared" si="7"/>
        <v>1.0596241035318976E-2</v>
      </c>
    </row>
    <row r="123" spans="2:8" x14ac:dyDescent="0.25">
      <c r="B123" s="3">
        <f t="shared" si="8"/>
        <v>120</v>
      </c>
      <c r="C123" s="9">
        <f t="shared" si="9"/>
        <v>0.06</v>
      </c>
      <c r="D123" s="142">
        <f t="shared" si="5"/>
        <v>5.1430128318229462E-3</v>
      </c>
      <c r="E123" s="9">
        <f t="shared" si="6"/>
        <v>0.06</v>
      </c>
      <c r="F123" s="142">
        <f t="shared" si="5"/>
        <v>5.1430128318229462E-3</v>
      </c>
      <c r="G123" s="9">
        <f t="shared" si="6"/>
        <v>0.12</v>
      </c>
      <c r="H123" s="142">
        <f t="shared" si="7"/>
        <v>1.0596241035318976E-2</v>
      </c>
    </row>
    <row r="124" spans="2:8" x14ac:dyDescent="0.25">
      <c r="B124" s="3">
        <f t="shared" si="8"/>
        <v>121</v>
      </c>
      <c r="C124" s="9">
        <f t="shared" si="9"/>
        <v>0.06</v>
      </c>
      <c r="D124" s="142">
        <f t="shared" si="5"/>
        <v>5.1430128318229462E-3</v>
      </c>
      <c r="E124" s="9">
        <f t="shared" si="6"/>
        <v>0.06</v>
      </c>
      <c r="F124" s="142">
        <f t="shared" si="5"/>
        <v>5.1430128318229462E-3</v>
      </c>
      <c r="G124" s="9">
        <f t="shared" si="6"/>
        <v>0.12</v>
      </c>
      <c r="H124" s="142">
        <f t="shared" si="7"/>
        <v>1.0596241035318976E-2</v>
      </c>
    </row>
    <row r="125" spans="2:8" x14ac:dyDescent="0.25">
      <c r="B125" s="3">
        <f t="shared" si="8"/>
        <v>122</v>
      </c>
      <c r="C125" s="9">
        <f t="shared" si="9"/>
        <v>0.06</v>
      </c>
      <c r="D125" s="142">
        <f t="shared" si="5"/>
        <v>5.1430128318229462E-3</v>
      </c>
      <c r="E125" s="9">
        <f t="shared" si="6"/>
        <v>0.06</v>
      </c>
      <c r="F125" s="142">
        <f t="shared" si="5"/>
        <v>5.1430128318229462E-3</v>
      </c>
      <c r="G125" s="9">
        <f t="shared" si="6"/>
        <v>0.12</v>
      </c>
      <c r="H125" s="142">
        <f t="shared" si="7"/>
        <v>1.0596241035318976E-2</v>
      </c>
    </row>
    <row r="126" spans="2:8" x14ac:dyDescent="0.25">
      <c r="B126" s="3">
        <f t="shared" si="8"/>
        <v>123</v>
      </c>
      <c r="C126" s="9">
        <f t="shared" si="9"/>
        <v>0.06</v>
      </c>
      <c r="D126" s="142">
        <f t="shared" si="5"/>
        <v>5.1430128318229462E-3</v>
      </c>
      <c r="E126" s="9">
        <f t="shared" si="6"/>
        <v>0.06</v>
      </c>
      <c r="F126" s="142">
        <f t="shared" si="5"/>
        <v>5.1430128318229462E-3</v>
      </c>
      <c r="G126" s="9">
        <f t="shared" si="6"/>
        <v>0.12</v>
      </c>
      <c r="H126" s="142">
        <f t="shared" si="7"/>
        <v>1.0596241035318976E-2</v>
      </c>
    </row>
    <row r="127" spans="2:8" x14ac:dyDescent="0.25">
      <c r="B127" s="3">
        <f t="shared" si="8"/>
        <v>124</v>
      </c>
      <c r="C127" s="9">
        <f t="shared" si="9"/>
        <v>0.06</v>
      </c>
      <c r="D127" s="142">
        <f t="shared" si="5"/>
        <v>5.1430128318229462E-3</v>
      </c>
      <c r="E127" s="9">
        <f t="shared" si="6"/>
        <v>0.06</v>
      </c>
      <c r="F127" s="142">
        <f t="shared" si="5"/>
        <v>5.1430128318229462E-3</v>
      </c>
      <c r="G127" s="9">
        <f t="shared" si="6"/>
        <v>0.12</v>
      </c>
      <c r="H127" s="142">
        <f t="shared" si="7"/>
        <v>1.0596241035318976E-2</v>
      </c>
    </row>
    <row r="128" spans="2:8" x14ac:dyDescent="0.25">
      <c r="B128" s="3">
        <f t="shared" si="8"/>
        <v>125</v>
      </c>
      <c r="C128" s="9">
        <f t="shared" si="9"/>
        <v>0.06</v>
      </c>
      <c r="D128" s="142">
        <f t="shared" si="5"/>
        <v>5.1430128318229462E-3</v>
      </c>
      <c r="E128" s="9">
        <f t="shared" si="6"/>
        <v>0.06</v>
      </c>
      <c r="F128" s="142">
        <f t="shared" si="5"/>
        <v>5.1430128318229462E-3</v>
      </c>
      <c r="G128" s="9">
        <f t="shared" si="6"/>
        <v>0.12</v>
      </c>
      <c r="H128" s="142">
        <f t="shared" si="7"/>
        <v>1.0596241035318976E-2</v>
      </c>
    </row>
    <row r="129" spans="2:8" x14ac:dyDescent="0.25">
      <c r="B129" s="3">
        <f t="shared" si="8"/>
        <v>126</v>
      </c>
      <c r="C129" s="9">
        <f t="shared" si="9"/>
        <v>0.06</v>
      </c>
      <c r="D129" s="142">
        <f t="shared" si="5"/>
        <v>5.1430128318229462E-3</v>
      </c>
      <c r="E129" s="9">
        <f t="shared" si="6"/>
        <v>0.06</v>
      </c>
      <c r="F129" s="142">
        <f t="shared" si="5"/>
        <v>5.1430128318229462E-3</v>
      </c>
      <c r="G129" s="9">
        <f t="shared" si="6"/>
        <v>0.12</v>
      </c>
      <c r="H129" s="142">
        <f t="shared" si="7"/>
        <v>1.0596241035318976E-2</v>
      </c>
    </row>
    <row r="130" spans="2:8" x14ac:dyDescent="0.25">
      <c r="B130" s="3">
        <f t="shared" si="8"/>
        <v>127</v>
      </c>
      <c r="C130" s="9">
        <f t="shared" si="9"/>
        <v>0.06</v>
      </c>
      <c r="D130" s="142">
        <f t="shared" si="5"/>
        <v>5.1430128318229462E-3</v>
      </c>
      <c r="E130" s="9">
        <f t="shared" si="6"/>
        <v>0.06</v>
      </c>
      <c r="F130" s="142">
        <f t="shared" si="5"/>
        <v>5.1430128318229462E-3</v>
      </c>
      <c r="G130" s="9">
        <f t="shared" si="6"/>
        <v>0.12</v>
      </c>
      <c r="H130" s="142">
        <f t="shared" si="7"/>
        <v>1.0596241035318976E-2</v>
      </c>
    </row>
    <row r="131" spans="2:8" x14ac:dyDescent="0.25">
      <c r="B131" s="3">
        <f t="shared" si="8"/>
        <v>128</v>
      </c>
      <c r="C131" s="9">
        <f t="shared" si="9"/>
        <v>0.06</v>
      </c>
      <c r="D131" s="142">
        <f t="shared" si="5"/>
        <v>5.1430128318229462E-3</v>
      </c>
      <c r="E131" s="9">
        <f t="shared" si="6"/>
        <v>0.06</v>
      </c>
      <c r="F131" s="142">
        <f t="shared" si="5"/>
        <v>5.1430128318229462E-3</v>
      </c>
      <c r="G131" s="9">
        <f t="shared" si="6"/>
        <v>0.12</v>
      </c>
      <c r="H131" s="142">
        <f t="shared" si="7"/>
        <v>1.0596241035318976E-2</v>
      </c>
    </row>
    <row r="132" spans="2:8" x14ac:dyDescent="0.25">
      <c r="B132" s="3">
        <f t="shared" si="8"/>
        <v>129</v>
      </c>
      <c r="C132" s="9">
        <f t="shared" si="9"/>
        <v>0.06</v>
      </c>
      <c r="D132" s="142">
        <f t="shared" si="5"/>
        <v>5.1430128318229462E-3</v>
      </c>
      <c r="E132" s="9">
        <f t="shared" si="6"/>
        <v>0.06</v>
      </c>
      <c r="F132" s="142">
        <f t="shared" si="5"/>
        <v>5.1430128318229462E-3</v>
      </c>
      <c r="G132" s="9">
        <f t="shared" si="6"/>
        <v>0.12</v>
      </c>
      <c r="H132" s="142">
        <f t="shared" si="7"/>
        <v>1.0596241035318976E-2</v>
      </c>
    </row>
    <row r="133" spans="2:8" x14ac:dyDescent="0.25">
      <c r="B133" s="3">
        <f t="shared" si="8"/>
        <v>130</v>
      </c>
      <c r="C133" s="9">
        <f t="shared" si="9"/>
        <v>0.06</v>
      </c>
      <c r="D133" s="142">
        <f t="shared" ref="D133:F196" si="10">1-(1-C133)^(1/12)</f>
        <v>5.1430128318229462E-3</v>
      </c>
      <c r="E133" s="9">
        <f t="shared" ref="E133:G196" si="11">MIN((E$2/100)*0.06,(E$2/100)*0.06*$B133/30)</f>
        <v>0.06</v>
      </c>
      <c r="F133" s="142">
        <f t="shared" si="10"/>
        <v>5.1430128318229462E-3</v>
      </c>
      <c r="G133" s="9">
        <f t="shared" si="11"/>
        <v>0.12</v>
      </c>
      <c r="H133" s="142">
        <f t="shared" ref="H133:H196" si="12">1-(1-G133)^(1/12)</f>
        <v>1.0596241035318976E-2</v>
      </c>
    </row>
    <row r="134" spans="2:8" x14ac:dyDescent="0.25">
      <c r="B134" s="3">
        <f t="shared" ref="B134:B197" si="13">1+B133</f>
        <v>131</v>
      </c>
      <c r="C134" s="9">
        <f t="shared" ref="C134:C197" si="14">C133</f>
        <v>0.06</v>
      </c>
      <c r="D134" s="142">
        <f t="shared" si="10"/>
        <v>5.1430128318229462E-3</v>
      </c>
      <c r="E134" s="9">
        <f t="shared" si="11"/>
        <v>0.06</v>
      </c>
      <c r="F134" s="142">
        <f t="shared" si="10"/>
        <v>5.1430128318229462E-3</v>
      </c>
      <c r="G134" s="9">
        <f t="shared" si="11"/>
        <v>0.12</v>
      </c>
      <c r="H134" s="142">
        <f t="shared" si="12"/>
        <v>1.0596241035318976E-2</v>
      </c>
    </row>
    <row r="135" spans="2:8" x14ac:dyDescent="0.25">
      <c r="B135" s="3">
        <f t="shared" si="13"/>
        <v>132</v>
      </c>
      <c r="C135" s="9">
        <f t="shared" si="14"/>
        <v>0.06</v>
      </c>
      <c r="D135" s="142">
        <f t="shared" si="10"/>
        <v>5.1430128318229462E-3</v>
      </c>
      <c r="E135" s="9">
        <f t="shared" si="11"/>
        <v>0.06</v>
      </c>
      <c r="F135" s="142">
        <f t="shared" si="10"/>
        <v>5.1430128318229462E-3</v>
      </c>
      <c r="G135" s="9">
        <f t="shared" si="11"/>
        <v>0.12</v>
      </c>
      <c r="H135" s="142">
        <f t="shared" si="12"/>
        <v>1.0596241035318976E-2</v>
      </c>
    </row>
    <row r="136" spans="2:8" x14ac:dyDescent="0.25">
      <c r="B136" s="3">
        <f t="shared" si="13"/>
        <v>133</v>
      </c>
      <c r="C136" s="9">
        <f t="shared" si="14"/>
        <v>0.06</v>
      </c>
      <c r="D136" s="142">
        <f t="shared" si="10"/>
        <v>5.1430128318229462E-3</v>
      </c>
      <c r="E136" s="9">
        <f t="shared" si="11"/>
        <v>0.06</v>
      </c>
      <c r="F136" s="142">
        <f t="shared" si="10"/>
        <v>5.1430128318229462E-3</v>
      </c>
      <c r="G136" s="9">
        <f t="shared" si="11"/>
        <v>0.12</v>
      </c>
      <c r="H136" s="142">
        <f t="shared" si="12"/>
        <v>1.0596241035318976E-2</v>
      </c>
    </row>
    <row r="137" spans="2:8" x14ac:dyDescent="0.25">
      <c r="B137" s="3">
        <f t="shared" si="13"/>
        <v>134</v>
      </c>
      <c r="C137" s="9">
        <f t="shared" si="14"/>
        <v>0.06</v>
      </c>
      <c r="D137" s="142">
        <f t="shared" si="10"/>
        <v>5.1430128318229462E-3</v>
      </c>
      <c r="E137" s="9">
        <f t="shared" si="11"/>
        <v>0.06</v>
      </c>
      <c r="F137" s="142">
        <f t="shared" si="10"/>
        <v>5.1430128318229462E-3</v>
      </c>
      <c r="G137" s="9">
        <f t="shared" si="11"/>
        <v>0.12</v>
      </c>
      <c r="H137" s="142">
        <f t="shared" si="12"/>
        <v>1.0596241035318976E-2</v>
      </c>
    </row>
    <row r="138" spans="2:8" x14ac:dyDescent="0.25">
      <c r="B138" s="3">
        <f t="shared" si="13"/>
        <v>135</v>
      </c>
      <c r="C138" s="9">
        <f t="shared" si="14"/>
        <v>0.06</v>
      </c>
      <c r="D138" s="142">
        <f t="shared" si="10"/>
        <v>5.1430128318229462E-3</v>
      </c>
      <c r="E138" s="9">
        <f t="shared" si="11"/>
        <v>0.06</v>
      </c>
      <c r="F138" s="142">
        <f t="shared" si="10"/>
        <v>5.1430128318229462E-3</v>
      </c>
      <c r="G138" s="9">
        <f t="shared" si="11"/>
        <v>0.12</v>
      </c>
      <c r="H138" s="142">
        <f t="shared" si="12"/>
        <v>1.0596241035318976E-2</v>
      </c>
    </row>
    <row r="139" spans="2:8" x14ac:dyDescent="0.25">
      <c r="B139" s="3">
        <f t="shared" si="13"/>
        <v>136</v>
      </c>
      <c r="C139" s="9">
        <f t="shared" si="14"/>
        <v>0.06</v>
      </c>
      <c r="D139" s="142">
        <f t="shared" si="10"/>
        <v>5.1430128318229462E-3</v>
      </c>
      <c r="E139" s="9">
        <f t="shared" si="11"/>
        <v>0.06</v>
      </c>
      <c r="F139" s="142">
        <f t="shared" si="10"/>
        <v>5.1430128318229462E-3</v>
      </c>
      <c r="G139" s="9">
        <f t="shared" si="11"/>
        <v>0.12</v>
      </c>
      <c r="H139" s="142">
        <f t="shared" si="12"/>
        <v>1.0596241035318976E-2</v>
      </c>
    </row>
    <row r="140" spans="2:8" x14ac:dyDescent="0.25">
      <c r="B140" s="3">
        <f t="shared" si="13"/>
        <v>137</v>
      </c>
      <c r="C140" s="9">
        <f t="shared" si="14"/>
        <v>0.06</v>
      </c>
      <c r="D140" s="142">
        <f t="shared" si="10"/>
        <v>5.1430128318229462E-3</v>
      </c>
      <c r="E140" s="9">
        <f t="shared" si="11"/>
        <v>0.06</v>
      </c>
      <c r="F140" s="142">
        <f t="shared" si="10"/>
        <v>5.1430128318229462E-3</v>
      </c>
      <c r="G140" s="9">
        <f t="shared" si="11"/>
        <v>0.12</v>
      </c>
      <c r="H140" s="142">
        <f t="shared" si="12"/>
        <v>1.0596241035318976E-2</v>
      </c>
    </row>
    <row r="141" spans="2:8" x14ac:dyDescent="0.25">
      <c r="B141" s="3">
        <f t="shared" si="13"/>
        <v>138</v>
      </c>
      <c r="C141" s="9">
        <f t="shared" si="14"/>
        <v>0.06</v>
      </c>
      <c r="D141" s="142">
        <f t="shared" si="10"/>
        <v>5.1430128318229462E-3</v>
      </c>
      <c r="E141" s="9">
        <f t="shared" si="11"/>
        <v>0.06</v>
      </c>
      <c r="F141" s="142">
        <f t="shared" si="10"/>
        <v>5.1430128318229462E-3</v>
      </c>
      <c r="G141" s="9">
        <f t="shared" si="11"/>
        <v>0.12</v>
      </c>
      <c r="H141" s="142">
        <f t="shared" si="12"/>
        <v>1.0596241035318976E-2</v>
      </c>
    </row>
    <row r="142" spans="2:8" x14ac:dyDescent="0.25">
      <c r="B142" s="3">
        <f t="shared" si="13"/>
        <v>139</v>
      </c>
      <c r="C142" s="9">
        <f t="shared" si="14"/>
        <v>0.06</v>
      </c>
      <c r="D142" s="142">
        <f t="shared" si="10"/>
        <v>5.1430128318229462E-3</v>
      </c>
      <c r="E142" s="9">
        <f t="shared" si="11"/>
        <v>0.06</v>
      </c>
      <c r="F142" s="142">
        <f t="shared" si="10"/>
        <v>5.1430128318229462E-3</v>
      </c>
      <c r="G142" s="9">
        <f t="shared" si="11"/>
        <v>0.12</v>
      </c>
      <c r="H142" s="142">
        <f t="shared" si="12"/>
        <v>1.0596241035318976E-2</v>
      </c>
    </row>
    <row r="143" spans="2:8" x14ac:dyDescent="0.25">
      <c r="B143" s="3">
        <f t="shared" si="13"/>
        <v>140</v>
      </c>
      <c r="C143" s="9">
        <f t="shared" si="14"/>
        <v>0.06</v>
      </c>
      <c r="D143" s="142">
        <f t="shared" si="10"/>
        <v>5.1430128318229462E-3</v>
      </c>
      <c r="E143" s="9">
        <f t="shared" si="11"/>
        <v>0.06</v>
      </c>
      <c r="F143" s="142">
        <f t="shared" si="10"/>
        <v>5.1430128318229462E-3</v>
      </c>
      <c r="G143" s="9">
        <f t="shared" si="11"/>
        <v>0.12</v>
      </c>
      <c r="H143" s="142">
        <f t="shared" si="12"/>
        <v>1.0596241035318976E-2</v>
      </c>
    </row>
    <row r="144" spans="2:8" x14ac:dyDescent="0.25">
      <c r="B144" s="3">
        <f t="shared" si="13"/>
        <v>141</v>
      </c>
      <c r="C144" s="9">
        <f t="shared" si="14"/>
        <v>0.06</v>
      </c>
      <c r="D144" s="142">
        <f t="shared" si="10"/>
        <v>5.1430128318229462E-3</v>
      </c>
      <c r="E144" s="9">
        <f t="shared" si="11"/>
        <v>0.06</v>
      </c>
      <c r="F144" s="142">
        <f t="shared" si="10"/>
        <v>5.1430128318229462E-3</v>
      </c>
      <c r="G144" s="9">
        <f t="shared" si="11"/>
        <v>0.12</v>
      </c>
      <c r="H144" s="142">
        <f t="shared" si="12"/>
        <v>1.0596241035318976E-2</v>
      </c>
    </row>
    <row r="145" spans="2:8" x14ac:dyDescent="0.25">
      <c r="B145" s="3">
        <f t="shared" si="13"/>
        <v>142</v>
      </c>
      <c r="C145" s="9">
        <f t="shared" si="14"/>
        <v>0.06</v>
      </c>
      <c r="D145" s="142">
        <f t="shared" si="10"/>
        <v>5.1430128318229462E-3</v>
      </c>
      <c r="E145" s="9">
        <f t="shared" si="11"/>
        <v>0.06</v>
      </c>
      <c r="F145" s="142">
        <f t="shared" si="10"/>
        <v>5.1430128318229462E-3</v>
      </c>
      <c r="G145" s="9">
        <f t="shared" si="11"/>
        <v>0.12</v>
      </c>
      <c r="H145" s="142">
        <f t="shared" si="12"/>
        <v>1.0596241035318976E-2</v>
      </c>
    </row>
    <row r="146" spans="2:8" x14ac:dyDescent="0.25">
      <c r="B146" s="3">
        <f t="shared" si="13"/>
        <v>143</v>
      </c>
      <c r="C146" s="9">
        <f t="shared" si="14"/>
        <v>0.06</v>
      </c>
      <c r="D146" s="142">
        <f t="shared" si="10"/>
        <v>5.1430128318229462E-3</v>
      </c>
      <c r="E146" s="9">
        <f t="shared" si="11"/>
        <v>0.06</v>
      </c>
      <c r="F146" s="142">
        <f t="shared" si="10"/>
        <v>5.1430128318229462E-3</v>
      </c>
      <c r="G146" s="9">
        <f t="shared" si="11"/>
        <v>0.12</v>
      </c>
      <c r="H146" s="142">
        <f t="shared" si="12"/>
        <v>1.0596241035318976E-2</v>
      </c>
    </row>
    <row r="147" spans="2:8" x14ac:dyDescent="0.25">
      <c r="B147" s="3">
        <f t="shared" si="13"/>
        <v>144</v>
      </c>
      <c r="C147" s="9">
        <f t="shared" si="14"/>
        <v>0.06</v>
      </c>
      <c r="D147" s="142">
        <f t="shared" si="10"/>
        <v>5.1430128318229462E-3</v>
      </c>
      <c r="E147" s="9">
        <f t="shared" si="11"/>
        <v>0.06</v>
      </c>
      <c r="F147" s="142">
        <f t="shared" si="10"/>
        <v>5.1430128318229462E-3</v>
      </c>
      <c r="G147" s="9">
        <f t="shared" si="11"/>
        <v>0.12</v>
      </c>
      <c r="H147" s="142">
        <f t="shared" si="12"/>
        <v>1.0596241035318976E-2</v>
      </c>
    </row>
    <row r="148" spans="2:8" x14ac:dyDescent="0.25">
      <c r="B148" s="3">
        <f t="shared" si="13"/>
        <v>145</v>
      </c>
      <c r="C148" s="9">
        <f t="shared" si="14"/>
        <v>0.06</v>
      </c>
      <c r="D148" s="142">
        <f t="shared" si="10"/>
        <v>5.1430128318229462E-3</v>
      </c>
      <c r="E148" s="9">
        <f t="shared" si="11"/>
        <v>0.06</v>
      </c>
      <c r="F148" s="142">
        <f t="shared" si="10"/>
        <v>5.1430128318229462E-3</v>
      </c>
      <c r="G148" s="9">
        <f t="shared" si="11"/>
        <v>0.12</v>
      </c>
      <c r="H148" s="142">
        <f t="shared" si="12"/>
        <v>1.0596241035318976E-2</v>
      </c>
    </row>
    <row r="149" spans="2:8" x14ac:dyDescent="0.25">
      <c r="B149" s="3">
        <f t="shared" si="13"/>
        <v>146</v>
      </c>
      <c r="C149" s="9">
        <f t="shared" si="14"/>
        <v>0.06</v>
      </c>
      <c r="D149" s="142">
        <f t="shared" si="10"/>
        <v>5.1430128318229462E-3</v>
      </c>
      <c r="E149" s="9">
        <f t="shared" si="11"/>
        <v>0.06</v>
      </c>
      <c r="F149" s="142">
        <f t="shared" si="10"/>
        <v>5.1430128318229462E-3</v>
      </c>
      <c r="G149" s="9">
        <f t="shared" si="11"/>
        <v>0.12</v>
      </c>
      <c r="H149" s="142">
        <f t="shared" si="12"/>
        <v>1.0596241035318976E-2</v>
      </c>
    </row>
    <row r="150" spans="2:8" x14ac:dyDescent="0.25">
      <c r="B150" s="3">
        <f t="shared" si="13"/>
        <v>147</v>
      </c>
      <c r="C150" s="9">
        <f t="shared" si="14"/>
        <v>0.06</v>
      </c>
      <c r="D150" s="142">
        <f t="shared" si="10"/>
        <v>5.1430128318229462E-3</v>
      </c>
      <c r="E150" s="9">
        <f t="shared" si="11"/>
        <v>0.06</v>
      </c>
      <c r="F150" s="142">
        <f t="shared" si="10"/>
        <v>5.1430128318229462E-3</v>
      </c>
      <c r="G150" s="9">
        <f t="shared" si="11"/>
        <v>0.12</v>
      </c>
      <c r="H150" s="142">
        <f t="shared" si="12"/>
        <v>1.0596241035318976E-2</v>
      </c>
    </row>
    <row r="151" spans="2:8" x14ac:dyDescent="0.25">
      <c r="B151" s="3">
        <f t="shared" si="13"/>
        <v>148</v>
      </c>
      <c r="C151" s="9">
        <f t="shared" si="14"/>
        <v>0.06</v>
      </c>
      <c r="D151" s="142">
        <f t="shared" si="10"/>
        <v>5.1430128318229462E-3</v>
      </c>
      <c r="E151" s="9">
        <f t="shared" si="11"/>
        <v>0.06</v>
      </c>
      <c r="F151" s="142">
        <f t="shared" si="10"/>
        <v>5.1430128318229462E-3</v>
      </c>
      <c r="G151" s="9">
        <f t="shared" si="11"/>
        <v>0.12</v>
      </c>
      <c r="H151" s="142">
        <f t="shared" si="12"/>
        <v>1.0596241035318976E-2</v>
      </c>
    </row>
    <row r="152" spans="2:8" x14ac:dyDescent="0.25">
      <c r="B152" s="3">
        <f t="shared" si="13"/>
        <v>149</v>
      </c>
      <c r="C152" s="9">
        <f t="shared" si="14"/>
        <v>0.06</v>
      </c>
      <c r="D152" s="142">
        <f t="shared" si="10"/>
        <v>5.1430128318229462E-3</v>
      </c>
      <c r="E152" s="9">
        <f t="shared" si="11"/>
        <v>0.06</v>
      </c>
      <c r="F152" s="142">
        <f t="shared" si="10"/>
        <v>5.1430128318229462E-3</v>
      </c>
      <c r="G152" s="9">
        <f t="shared" si="11"/>
        <v>0.12</v>
      </c>
      <c r="H152" s="142">
        <f t="shared" si="12"/>
        <v>1.0596241035318976E-2</v>
      </c>
    </row>
    <row r="153" spans="2:8" x14ac:dyDescent="0.25">
      <c r="B153" s="3">
        <f t="shared" si="13"/>
        <v>150</v>
      </c>
      <c r="C153" s="9">
        <f t="shared" si="14"/>
        <v>0.06</v>
      </c>
      <c r="D153" s="142">
        <f t="shared" si="10"/>
        <v>5.1430128318229462E-3</v>
      </c>
      <c r="E153" s="9">
        <f t="shared" si="11"/>
        <v>0.06</v>
      </c>
      <c r="F153" s="142">
        <f t="shared" si="10"/>
        <v>5.1430128318229462E-3</v>
      </c>
      <c r="G153" s="9">
        <f t="shared" si="11"/>
        <v>0.12</v>
      </c>
      <c r="H153" s="142">
        <f t="shared" si="12"/>
        <v>1.0596241035318976E-2</v>
      </c>
    </row>
    <row r="154" spans="2:8" x14ac:dyDescent="0.25">
      <c r="B154" s="3">
        <f t="shared" si="13"/>
        <v>151</v>
      </c>
      <c r="C154" s="9">
        <f t="shared" si="14"/>
        <v>0.06</v>
      </c>
      <c r="D154" s="142">
        <f t="shared" si="10"/>
        <v>5.1430128318229462E-3</v>
      </c>
      <c r="E154" s="9">
        <f t="shared" si="11"/>
        <v>0.06</v>
      </c>
      <c r="F154" s="142">
        <f t="shared" si="10"/>
        <v>5.1430128318229462E-3</v>
      </c>
      <c r="G154" s="9">
        <f t="shared" si="11"/>
        <v>0.12</v>
      </c>
      <c r="H154" s="142">
        <f t="shared" si="12"/>
        <v>1.0596241035318976E-2</v>
      </c>
    </row>
    <row r="155" spans="2:8" x14ac:dyDescent="0.25">
      <c r="B155" s="3">
        <f t="shared" si="13"/>
        <v>152</v>
      </c>
      <c r="C155" s="9">
        <f t="shared" si="14"/>
        <v>0.06</v>
      </c>
      <c r="D155" s="142">
        <f t="shared" si="10"/>
        <v>5.1430128318229462E-3</v>
      </c>
      <c r="E155" s="9">
        <f t="shared" si="11"/>
        <v>0.06</v>
      </c>
      <c r="F155" s="142">
        <f t="shared" si="10"/>
        <v>5.1430128318229462E-3</v>
      </c>
      <c r="G155" s="9">
        <f t="shared" si="11"/>
        <v>0.12</v>
      </c>
      <c r="H155" s="142">
        <f t="shared" si="12"/>
        <v>1.0596241035318976E-2</v>
      </c>
    </row>
    <row r="156" spans="2:8" x14ac:dyDescent="0.25">
      <c r="B156" s="3">
        <f t="shared" si="13"/>
        <v>153</v>
      </c>
      <c r="C156" s="9">
        <f t="shared" si="14"/>
        <v>0.06</v>
      </c>
      <c r="D156" s="142">
        <f t="shared" si="10"/>
        <v>5.1430128318229462E-3</v>
      </c>
      <c r="E156" s="9">
        <f t="shared" si="11"/>
        <v>0.06</v>
      </c>
      <c r="F156" s="142">
        <f t="shared" si="10"/>
        <v>5.1430128318229462E-3</v>
      </c>
      <c r="G156" s="9">
        <f t="shared" si="11"/>
        <v>0.12</v>
      </c>
      <c r="H156" s="142">
        <f t="shared" si="12"/>
        <v>1.0596241035318976E-2</v>
      </c>
    </row>
    <row r="157" spans="2:8" x14ac:dyDescent="0.25">
      <c r="B157" s="3">
        <f t="shared" si="13"/>
        <v>154</v>
      </c>
      <c r="C157" s="9">
        <f t="shared" si="14"/>
        <v>0.06</v>
      </c>
      <c r="D157" s="142">
        <f t="shared" si="10"/>
        <v>5.1430128318229462E-3</v>
      </c>
      <c r="E157" s="9">
        <f t="shared" si="11"/>
        <v>0.06</v>
      </c>
      <c r="F157" s="142">
        <f t="shared" si="10"/>
        <v>5.1430128318229462E-3</v>
      </c>
      <c r="G157" s="9">
        <f t="shared" si="11"/>
        <v>0.12</v>
      </c>
      <c r="H157" s="142">
        <f t="shared" si="12"/>
        <v>1.0596241035318976E-2</v>
      </c>
    </row>
    <row r="158" spans="2:8" x14ac:dyDescent="0.25">
      <c r="B158" s="3">
        <f t="shared" si="13"/>
        <v>155</v>
      </c>
      <c r="C158" s="9">
        <f t="shared" si="14"/>
        <v>0.06</v>
      </c>
      <c r="D158" s="142">
        <f t="shared" si="10"/>
        <v>5.1430128318229462E-3</v>
      </c>
      <c r="E158" s="9">
        <f t="shared" si="11"/>
        <v>0.06</v>
      </c>
      <c r="F158" s="142">
        <f t="shared" si="10"/>
        <v>5.1430128318229462E-3</v>
      </c>
      <c r="G158" s="9">
        <f t="shared" si="11"/>
        <v>0.12</v>
      </c>
      <c r="H158" s="142">
        <f t="shared" si="12"/>
        <v>1.0596241035318976E-2</v>
      </c>
    </row>
    <row r="159" spans="2:8" x14ac:dyDescent="0.25">
      <c r="B159" s="3">
        <f t="shared" si="13"/>
        <v>156</v>
      </c>
      <c r="C159" s="9">
        <f t="shared" si="14"/>
        <v>0.06</v>
      </c>
      <c r="D159" s="142">
        <f t="shared" si="10"/>
        <v>5.1430128318229462E-3</v>
      </c>
      <c r="E159" s="9">
        <f t="shared" si="11"/>
        <v>0.06</v>
      </c>
      <c r="F159" s="142">
        <f t="shared" si="10"/>
        <v>5.1430128318229462E-3</v>
      </c>
      <c r="G159" s="9">
        <f t="shared" si="11"/>
        <v>0.12</v>
      </c>
      <c r="H159" s="142">
        <f t="shared" si="12"/>
        <v>1.0596241035318976E-2</v>
      </c>
    </row>
    <row r="160" spans="2:8" x14ac:dyDescent="0.25">
      <c r="B160" s="3">
        <f t="shared" si="13"/>
        <v>157</v>
      </c>
      <c r="C160" s="9">
        <f t="shared" si="14"/>
        <v>0.06</v>
      </c>
      <c r="D160" s="142">
        <f t="shared" si="10"/>
        <v>5.1430128318229462E-3</v>
      </c>
      <c r="E160" s="9">
        <f t="shared" si="11"/>
        <v>0.06</v>
      </c>
      <c r="F160" s="142">
        <f t="shared" si="10"/>
        <v>5.1430128318229462E-3</v>
      </c>
      <c r="G160" s="9">
        <f t="shared" si="11"/>
        <v>0.12</v>
      </c>
      <c r="H160" s="142">
        <f t="shared" si="12"/>
        <v>1.0596241035318976E-2</v>
      </c>
    </row>
    <row r="161" spans="2:8" x14ac:dyDescent="0.25">
      <c r="B161" s="3">
        <f t="shared" si="13"/>
        <v>158</v>
      </c>
      <c r="C161" s="9">
        <f t="shared" si="14"/>
        <v>0.06</v>
      </c>
      <c r="D161" s="142">
        <f t="shared" si="10"/>
        <v>5.1430128318229462E-3</v>
      </c>
      <c r="E161" s="9">
        <f t="shared" si="11"/>
        <v>0.06</v>
      </c>
      <c r="F161" s="142">
        <f t="shared" si="10"/>
        <v>5.1430128318229462E-3</v>
      </c>
      <c r="G161" s="9">
        <f t="shared" si="11"/>
        <v>0.12</v>
      </c>
      <c r="H161" s="142">
        <f t="shared" si="12"/>
        <v>1.0596241035318976E-2</v>
      </c>
    </row>
    <row r="162" spans="2:8" x14ac:dyDescent="0.25">
      <c r="B162" s="3">
        <f t="shared" si="13"/>
        <v>159</v>
      </c>
      <c r="C162" s="9">
        <f t="shared" si="14"/>
        <v>0.06</v>
      </c>
      <c r="D162" s="142">
        <f t="shared" si="10"/>
        <v>5.1430128318229462E-3</v>
      </c>
      <c r="E162" s="9">
        <f t="shared" si="11"/>
        <v>0.06</v>
      </c>
      <c r="F162" s="142">
        <f t="shared" si="10"/>
        <v>5.1430128318229462E-3</v>
      </c>
      <c r="G162" s="9">
        <f t="shared" si="11"/>
        <v>0.12</v>
      </c>
      <c r="H162" s="142">
        <f t="shared" si="12"/>
        <v>1.0596241035318976E-2</v>
      </c>
    </row>
    <row r="163" spans="2:8" x14ac:dyDescent="0.25">
      <c r="B163" s="3">
        <f t="shared" si="13"/>
        <v>160</v>
      </c>
      <c r="C163" s="9">
        <f t="shared" si="14"/>
        <v>0.06</v>
      </c>
      <c r="D163" s="142">
        <f t="shared" si="10"/>
        <v>5.1430128318229462E-3</v>
      </c>
      <c r="E163" s="9">
        <f t="shared" si="11"/>
        <v>0.06</v>
      </c>
      <c r="F163" s="142">
        <f t="shared" si="10"/>
        <v>5.1430128318229462E-3</v>
      </c>
      <c r="G163" s="9">
        <f t="shared" si="11"/>
        <v>0.12</v>
      </c>
      <c r="H163" s="142">
        <f t="shared" si="12"/>
        <v>1.0596241035318976E-2</v>
      </c>
    </row>
    <row r="164" spans="2:8" x14ac:dyDescent="0.25">
      <c r="B164" s="3">
        <f t="shared" si="13"/>
        <v>161</v>
      </c>
      <c r="C164" s="9">
        <f t="shared" si="14"/>
        <v>0.06</v>
      </c>
      <c r="D164" s="142">
        <f t="shared" si="10"/>
        <v>5.1430128318229462E-3</v>
      </c>
      <c r="E164" s="9">
        <f t="shared" si="11"/>
        <v>0.06</v>
      </c>
      <c r="F164" s="142">
        <f t="shared" si="10"/>
        <v>5.1430128318229462E-3</v>
      </c>
      <c r="G164" s="9">
        <f t="shared" si="11"/>
        <v>0.12</v>
      </c>
      <c r="H164" s="142">
        <f t="shared" si="12"/>
        <v>1.0596241035318976E-2</v>
      </c>
    </row>
    <row r="165" spans="2:8" x14ac:dyDescent="0.25">
      <c r="B165" s="3">
        <f t="shared" si="13"/>
        <v>162</v>
      </c>
      <c r="C165" s="9">
        <f t="shared" si="14"/>
        <v>0.06</v>
      </c>
      <c r="D165" s="142">
        <f t="shared" si="10"/>
        <v>5.1430128318229462E-3</v>
      </c>
      <c r="E165" s="9">
        <f t="shared" si="11"/>
        <v>0.06</v>
      </c>
      <c r="F165" s="142">
        <f t="shared" si="10"/>
        <v>5.1430128318229462E-3</v>
      </c>
      <c r="G165" s="9">
        <f t="shared" si="11"/>
        <v>0.12</v>
      </c>
      <c r="H165" s="142">
        <f t="shared" si="12"/>
        <v>1.0596241035318976E-2</v>
      </c>
    </row>
    <row r="166" spans="2:8" x14ac:dyDescent="0.25">
      <c r="B166" s="3">
        <f t="shared" si="13"/>
        <v>163</v>
      </c>
      <c r="C166" s="9">
        <f t="shared" si="14"/>
        <v>0.06</v>
      </c>
      <c r="D166" s="142">
        <f t="shared" si="10"/>
        <v>5.1430128318229462E-3</v>
      </c>
      <c r="E166" s="9">
        <f t="shared" si="11"/>
        <v>0.06</v>
      </c>
      <c r="F166" s="142">
        <f t="shared" si="10"/>
        <v>5.1430128318229462E-3</v>
      </c>
      <c r="G166" s="9">
        <f t="shared" si="11"/>
        <v>0.12</v>
      </c>
      <c r="H166" s="142">
        <f t="shared" si="12"/>
        <v>1.0596241035318976E-2</v>
      </c>
    </row>
    <row r="167" spans="2:8" x14ac:dyDescent="0.25">
      <c r="B167" s="3">
        <f t="shared" si="13"/>
        <v>164</v>
      </c>
      <c r="C167" s="9">
        <f t="shared" si="14"/>
        <v>0.06</v>
      </c>
      <c r="D167" s="142">
        <f t="shared" si="10"/>
        <v>5.1430128318229462E-3</v>
      </c>
      <c r="E167" s="9">
        <f t="shared" si="11"/>
        <v>0.06</v>
      </c>
      <c r="F167" s="142">
        <f t="shared" si="10"/>
        <v>5.1430128318229462E-3</v>
      </c>
      <c r="G167" s="9">
        <f t="shared" si="11"/>
        <v>0.12</v>
      </c>
      <c r="H167" s="142">
        <f t="shared" si="12"/>
        <v>1.0596241035318976E-2</v>
      </c>
    </row>
    <row r="168" spans="2:8" x14ac:dyDescent="0.25">
      <c r="B168" s="3">
        <f t="shared" si="13"/>
        <v>165</v>
      </c>
      <c r="C168" s="9">
        <f t="shared" si="14"/>
        <v>0.06</v>
      </c>
      <c r="D168" s="142">
        <f t="shared" si="10"/>
        <v>5.1430128318229462E-3</v>
      </c>
      <c r="E168" s="9">
        <f t="shared" si="11"/>
        <v>0.06</v>
      </c>
      <c r="F168" s="142">
        <f t="shared" si="10"/>
        <v>5.1430128318229462E-3</v>
      </c>
      <c r="G168" s="9">
        <f t="shared" si="11"/>
        <v>0.12</v>
      </c>
      <c r="H168" s="142">
        <f t="shared" si="12"/>
        <v>1.0596241035318976E-2</v>
      </c>
    </row>
    <row r="169" spans="2:8" x14ac:dyDescent="0.25">
      <c r="B169" s="3">
        <f t="shared" si="13"/>
        <v>166</v>
      </c>
      <c r="C169" s="9">
        <f t="shared" si="14"/>
        <v>0.06</v>
      </c>
      <c r="D169" s="142">
        <f t="shared" si="10"/>
        <v>5.1430128318229462E-3</v>
      </c>
      <c r="E169" s="9">
        <f t="shared" si="11"/>
        <v>0.06</v>
      </c>
      <c r="F169" s="142">
        <f t="shared" si="10"/>
        <v>5.1430128318229462E-3</v>
      </c>
      <c r="G169" s="9">
        <f t="shared" si="11"/>
        <v>0.12</v>
      </c>
      <c r="H169" s="142">
        <f t="shared" si="12"/>
        <v>1.0596241035318976E-2</v>
      </c>
    </row>
    <row r="170" spans="2:8" x14ac:dyDescent="0.25">
      <c r="B170" s="3">
        <f t="shared" si="13"/>
        <v>167</v>
      </c>
      <c r="C170" s="9">
        <f t="shared" si="14"/>
        <v>0.06</v>
      </c>
      <c r="D170" s="142">
        <f t="shared" si="10"/>
        <v>5.1430128318229462E-3</v>
      </c>
      <c r="E170" s="9">
        <f t="shared" si="11"/>
        <v>0.06</v>
      </c>
      <c r="F170" s="142">
        <f t="shared" si="10"/>
        <v>5.1430128318229462E-3</v>
      </c>
      <c r="G170" s="9">
        <f t="shared" si="11"/>
        <v>0.12</v>
      </c>
      <c r="H170" s="142">
        <f t="shared" si="12"/>
        <v>1.0596241035318976E-2</v>
      </c>
    </row>
    <row r="171" spans="2:8" x14ac:dyDescent="0.25">
      <c r="B171" s="3">
        <f t="shared" si="13"/>
        <v>168</v>
      </c>
      <c r="C171" s="9">
        <f t="shared" si="14"/>
        <v>0.06</v>
      </c>
      <c r="D171" s="142">
        <f t="shared" si="10"/>
        <v>5.1430128318229462E-3</v>
      </c>
      <c r="E171" s="9">
        <f t="shared" si="11"/>
        <v>0.06</v>
      </c>
      <c r="F171" s="142">
        <f t="shared" si="10"/>
        <v>5.1430128318229462E-3</v>
      </c>
      <c r="G171" s="9">
        <f t="shared" si="11"/>
        <v>0.12</v>
      </c>
      <c r="H171" s="142">
        <f t="shared" si="12"/>
        <v>1.0596241035318976E-2</v>
      </c>
    </row>
    <row r="172" spans="2:8" x14ac:dyDescent="0.25">
      <c r="B172" s="3">
        <f t="shared" si="13"/>
        <v>169</v>
      </c>
      <c r="C172" s="9">
        <f t="shared" si="14"/>
        <v>0.06</v>
      </c>
      <c r="D172" s="142">
        <f t="shared" si="10"/>
        <v>5.1430128318229462E-3</v>
      </c>
      <c r="E172" s="9">
        <f t="shared" si="11"/>
        <v>0.06</v>
      </c>
      <c r="F172" s="142">
        <f t="shared" si="10"/>
        <v>5.1430128318229462E-3</v>
      </c>
      <c r="G172" s="9">
        <f t="shared" si="11"/>
        <v>0.12</v>
      </c>
      <c r="H172" s="142">
        <f t="shared" si="12"/>
        <v>1.0596241035318976E-2</v>
      </c>
    </row>
    <row r="173" spans="2:8" x14ac:dyDescent="0.25">
      <c r="B173" s="3">
        <f t="shared" si="13"/>
        <v>170</v>
      </c>
      <c r="C173" s="9">
        <f t="shared" si="14"/>
        <v>0.06</v>
      </c>
      <c r="D173" s="142">
        <f t="shared" si="10"/>
        <v>5.1430128318229462E-3</v>
      </c>
      <c r="E173" s="9">
        <f t="shared" si="11"/>
        <v>0.06</v>
      </c>
      <c r="F173" s="142">
        <f t="shared" si="10"/>
        <v>5.1430128318229462E-3</v>
      </c>
      <c r="G173" s="9">
        <f t="shared" si="11"/>
        <v>0.12</v>
      </c>
      <c r="H173" s="142">
        <f t="shared" si="12"/>
        <v>1.0596241035318976E-2</v>
      </c>
    </row>
    <row r="174" spans="2:8" x14ac:dyDescent="0.25">
      <c r="B174" s="3">
        <f t="shared" si="13"/>
        <v>171</v>
      </c>
      <c r="C174" s="9">
        <f t="shared" si="14"/>
        <v>0.06</v>
      </c>
      <c r="D174" s="142">
        <f t="shared" si="10"/>
        <v>5.1430128318229462E-3</v>
      </c>
      <c r="E174" s="9">
        <f t="shared" si="11"/>
        <v>0.06</v>
      </c>
      <c r="F174" s="142">
        <f t="shared" si="10"/>
        <v>5.1430128318229462E-3</v>
      </c>
      <c r="G174" s="9">
        <f t="shared" si="11"/>
        <v>0.12</v>
      </c>
      <c r="H174" s="142">
        <f t="shared" si="12"/>
        <v>1.0596241035318976E-2</v>
      </c>
    </row>
    <row r="175" spans="2:8" x14ac:dyDescent="0.25">
      <c r="B175" s="3">
        <f t="shared" si="13"/>
        <v>172</v>
      </c>
      <c r="C175" s="9">
        <f t="shared" si="14"/>
        <v>0.06</v>
      </c>
      <c r="D175" s="142">
        <f t="shared" si="10"/>
        <v>5.1430128318229462E-3</v>
      </c>
      <c r="E175" s="9">
        <f t="shared" si="11"/>
        <v>0.06</v>
      </c>
      <c r="F175" s="142">
        <f t="shared" si="10"/>
        <v>5.1430128318229462E-3</v>
      </c>
      <c r="G175" s="9">
        <f t="shared" si="11"/>
        <v>0.12</v>
      </c>
      <c r="H175" s="142">
        <f t="shared" si="12"/>
        <v>1.0596241035318976E-2</v>
      </c>
    </row>
    <row r="176" spans="2:8" x14ac:dyDescent="0.25">
      <c r="B176" s="3">
        <f t="shared" si="13"/>
        <v>173</v>
      </c>
      <c r="C176" s="9">
        <f t="shared" si="14"/>
        <v>0.06</v>
      </c>
      <c r="D176" s="142">
        <f t="shared" si="10"/>
        <v>5.1430128318229462E-3</v>
      </c>
      <c r="E176" s="9">
        <f t="shared" si="11"/>
        <v>0.06</v>
      </c>
      <c r="F176" s="142">
        <f t="shared" si="10"/>
        <v>5.1430128318229462E-3</v>
      </c>
      <c r="G176" s="9">
        <f t="shared" si="11"/>
        <v>0.12</v>
      </c>
      <c r="H176" s="142">
        <f t="shared" si="12"/>
        <v>1.0596241035318976E-2</v>
      </c>
    </row>
    <row r="177" spans="2:8" x14ac:dyDescent="0.25">
      <c r="B177" s="3">
        <f t="shared" si="13"/>
        <v>174</v>
      </c>
      <c r="C177" s="9">
        <f t="shared" si="14"/>
        <v>0.06</v>
      </c>
      <c r="D177" s="142">
        <f t="shared" si="10"/>
        <v>5.1430128318229462E-3</v>
      </c>
      <c r="E177" s="9">
        <f t="shared" si="11"/>
        <v>0.06</v>
      </c>
      <c r="F177" s="142">
        <f t="shared" si="10"/>
        <v>5.1430128318229462E-3</v>
      </c>
      <c r="G177" s="9">
        <f t="shared" si="11"/>
        <v>0.12</v>
      </c>
      <c r="H177" s="142">
        <f t="shared" si="12"/>
        <v>1.0596241035318976E-2</v>
      </c>
    </row>
    <row r="178" spans="2:8" x14ac:dyDescent="0.25">
      <c r="B178" s="3">
        <f t="shared" si="13"/>
        <v>175</v>
      </c>
      <c r="C178" s="9">
        <f t="shared" si="14"/>
        <v>0.06</v>
      </c>
      <c r="D178" s="142">
        <f t="shared" si="10"/>
        <v>5.1430128318229462E-3</v>
      </c>
      <c r="E178" s="9">
        <f t="shared" si="11"/>
        <v>0.06</v>
      </c>
      <c r="F178" s="142">
        <f t="shared" si="10"/>
        <v>5.1430128318229462E-3</v>
      </c>
      <c r="G178" s="9">
        <f t="shared" si="11"/>
        <v>0.12</v>
      </c>
      <c r="H178" s="142">
        <f t="shared" si="12"/>
        <v>1.0596241035318976E-2</v>
      </c>
    </row>
    <row r="179" spans="2:8" x14ac:dyDescent="0.25">
      <c r="B179" s="3">
        <f t="shared" si="13"/>
        <v>176</v>
      </c>
      <c r="C179" s="9">
        <f t="shared" si="14"/>
        <v>0.06</v>
      </c>
      <c r="D179" s="142">
        <f t="shared" si="10"/>
        <v>5.1430128318229462E-3</v>
      </c>
      <c r="E179" s="9">
        <f t="shared" si="11"/>
        <v>0.06</v>
      </c>
      <c r="F179" s="142">
        <f t="shared" si="10"/>
        <v>5.1430128318229462E-3</v>
      </c>
      <c r="G179" s="9">
        <f t="shared" si="11"/>
        <v>0.12</v>
      </c>
      <c r="H179" s="142">
        <f t="shared" si="12"/>
        <v>1.0596241035318976E-2</v>
      </c>
    </row>
    <row r="180" spans="2:8" x14ac:dyDescent="0.25">
      <c r="B180" s="3">
        <f t="shared" si="13"/>
        <v>177</v>
      </c>
      <c r="C180" s="9">
        <f t="shared" si="14"/>
        <v>0.06</v>
      </c>
      <c r="D180" s="142">
        <f t="shared" si="10"/>
        <v>5.1430128318229462E-3</v>
      </c>
      <c r="E180" s="9">
        <f t="shared" si="11"/>
        <v>0.06</v>
      </c>
      <c r="F180" s="142">
        <f t="shared" si="10"/>
        <v>5.1430128318229462E-3</v>
      </c>
      <c r="G180" s="9">
        <f t="shared" si="11"/>
        <v>0.12</v>
      </c>
      <c r="H180" s="142">
        <f t="shared" si="12"/>
        <v>1.0596241035318976E-2</v>
      </c>
    </row>
    <row r="181" spans="2:8" x14ac:dyDescent="0.25">
      <c r="B181" s="3">
        <f t="shared" si="13"/>
        <v>178</v>
      </c>
      <c r="C181" s="9">
        <f t="shared" si="14"/>
        <v>0.06</v>
      </c>
      <c r="D181" s="142">
        <f t="shared" si="10"/>
        <v>5.1430128318229462E-3</v>
      </c>
      <c r="E181" s="9">
        <f t="shared" si="11"/>
        <v>0.06</v>
      </c>
      <c r="F181" s="142">
        <f t="shared" si="10"/>
        <v>5.1430128318229462E-3</v>
      </c>
      <c r="G181" s="9">
        <f t="shared" si="11"/>
        <v>0.12</v>
      </c>
      <c r="H181" s="142">
        <f t="shared" si="12"/>
        <v>1.0596241035318976E-2</v>
      </c>
    </row>
    <row r="182" spans="2:8" x14ac:dyDescent="0.25">
      <c r="B182" s="3">
        <f t="shared" si="13"/>
        <v>179</v>
      </c>
      <c r="C182" s="9">
        <f t="shared" si="14"/>
        <v>0.06</v>
      </c>
      <c r="D182" s="142">
        <f t="shared" si="10"/>
        <v>5.1430128318229462E-3</v>
      </c>
      <c r="E182" s="9">
        <f t="shared" si="11"/>
        <v>0.06</v>
      </c>
      <c r="F182" s="142">
        <f t="shared" si="10"/>
        <v>5.1430128318229462E-3</v>
      </c>
      <c r="G182" s="9">
        <f t="shared" si="11"/>
        <v>0.12</v>
      </c>
      <c r="H182" s="142">
        <f t="shared" si="12"/>
        <v>1.0596241035318976E-2</v>
      </c>
    </row>
    <row r="183" spans="2:8" x14ac:dyDescent="0.25">
      <c r="B183" s="3">
        <f t="shared" si="13"/>
        <v>180</v>
      </c>
      <c r="C183" s="9">
        <f t="shared" si="14"/>
        <v>0.06</v>
      </c>
      <c r="D183" s="142">
        <f t="shared" si="10"/>
        <v>5.1430128318229462E-3</v>
      </c>
      <c r="E183" s="9">
        <f t="shared" si="11"/>
        <v>0.06</v>
      </c>
      <c r="F183" s="142">
        <f t="shared" si="10"/>
        <v>5.1430128318229462E-3</v>
      </c>
      <c r="G183" s="9">
        <f t="shared" si="11"/>
        <v>0.12</v>
      </c>
      <c r="H183" s="142">
        <f t="shared" si="12"/>
        <v>1.0596241035318976E-2</v>
      </c>
    </row>
    <row r="184" spans="2:8" x14ac:dyDescent="0.25">
      <c r="B184" s="3">
        <f t="shared" si="13"/>
        <v>181</v>
      </c>
      <c r="C184" s="9">
        <f t="shared" si="14"/>
        <v>0.06</v>
      </c>
      <c r="D184" s="142">
        <f t="shared" si="10"/>
        <v>5.1430128318229462E-3</v>
      </c>
      <c r="E184" s="9">
        <f t="shared" si="11"/>
        <v>0.06</v>
      </c>
      <c r="F184" s="142">
        <f t="shared" si="10"/>
        <v>5.1430128318229462E-3</v>
      </c>
      <c r="G184" s="9">
        <f t="shared" si="11"/>
        <v>0.12</v>
      </c>
      <c r="H184" s="142">
        <f t="shared" si="12"/>
        <v>1.0596241035318976E-2</v>
      </c>
    </row>
    <row r="185" spans="2:8" x14ac:dyDescent="0.25">
      <c r="B185" s="3">
        <f t="shared" si="13"/>
        <v>182</v>
      </c>
      <c r="C185" s="9">
        <f t="shared" si="14"/>
        <v>0.06</v>
      </c>
      <c r="D185" s="142">
        <f t="shared" si="10"/>
        <v>5.1430128318229462E-3</v>
      </c>
      <c r="E185" s="9">
        <f t="shared" si="11"/>
        <v>0.06</v>
      </c>
      <c r="F185" s="142">
        <f t="shared" si="10"/>
        <v>5.1430128318229462E-3</v>
      </c>
      <c r="G185" s="9">
        <f t="shared" si="11"/>
        <v>0.12</v>
      </c>
      <c r="H185" s="142">
        <f t="shared" si="12"/>
        <v>1.0596241035318976E-2</v>
      </c>
    </row>
    <row r="186" spans="2:8" x14ac:dyDescent="0.25">
      <c r="B186" s="3">
        <f t="shared" si="13"/>
        <v>183</v>
      </c>
      <c r="C186" s="9">
        <f t="shared" si="14"/>
        <v>0.06</v>
      </c>
      <c r="D186" s="142">
        <f t="shared" si="10"/>
        <v>5.1430128318229462E-3</v>
      </c>
      <c r="E186" s="9">
        <f t="shared" si="11"/>
        <v>0.06</v>
      </c>
      <c r="F186" s="142">
        <f t="shared" si="10"/>
        <v>5.1430128318229462E-3</v>
      </c>
      <c r="G186" s="9">
        <f t="shared" si="11"/>
        <v>0.12</v>
      </c>
      <c r="H186" s="142">
        <f t="shared" si="12"/>
        <v>1.0596241035318976E-2</v>
      </c>
    </row>
    <row r="187" spans="2:8" x14ac:dyDescent="0.25">
      <c r="B187" s="3">
        <f t="shared" si="13"/>
        <v>184</v>
      </c>
      <c r="C187" s="9">
        <f t="shared" si="14"/>
        <v>0.06</v>
      </c>
      <c r="D187" s="142">
        <f t="shared" si="10"/>
        <v>5.1430128318229462E-3</v>
      </c>
      <c r="E187" s="9">
        <f t="shared" si="11"/>
        <v>0.06</v>
      </c>
      <c r="F187" s="142">
        <f t="shared" si="10"/>
        <v>5.1430128318229462E-3</v>
      </c>
      <c r="G187" s="9">
        <f t="shared" si="11"/>
        <v>0.12</v>
      </c>
      <c r="H187" s="142">
        <f t="shared" si="12"/>
        <v>1.0596241035318976E-2</v>
      </c>
    </row>
    <row r="188" spans="2:8" x14ac:dyDescent="0.25">
      <c r="B188" s="3">
        <f t="shared" si="13"/>
        <v>185</v>
      </c>
      <c r="C188" s="9">
        <f t="shared" si="14"/>
        <v>0.06</v>
      </c>
      <c r="D188" s="142">
        <f t="shared" si="10"/>
        <v>5.1430128318229462E-3</v>
      </c>
      <c r="E188" s="9">
        <f t="shared" si="11"/>
        <v>0.06</v>
      </c>
      <c r="F188" s="142">
        <f t="shared" si="10"/>
        <v>5.1430128318229462E-3</v>
      </c>
      <c r="G188" s="9">
        <f t="shared" si="11"/>
        <v>0.12</v>
      </c>
      <c r="H188" s="142">
        <f t="shared" si="12"/>
        <v>1.0596241035318976E-2</v>
      </c>
    </row>
    <row r="189" spans="2:8" x14ac:dyDescent="0.25">
      <c r="B189" s="3">
        <f t="shared" si="13"/>
        <v>186</v>
      </c>
      <c r="C189" s="9">
        <f t="shared" si="14"/>
        <v>0.06</v>
      </c>
      <c r="D189" s="142">
        <f t="shared" si="10"/>
        <v>5.1430128318229462E-3</v>
      </c>
      <c r="E189" s="9">
        <f t="shared" si="11"/>
        <v>0.06</v>
      </c>
      <c r="F189" s="142">
        <f t="shared" si="10"/>
        <v>5.1430128318229462E-3</v>
      </c>
      <c r="G189" s="9">
        <f t="shared" si="11"/>
        <v>0.12</v>
      </c>
      <c r="H189" s="142">
        <f t="shared" si="12"/>
        <v>1.0596241035318976E-2</v>
      </c>
    </row>
    <row r="190" spans="2:8" x14ac:dyDescent="0.25">
      <c r="B190" s="3">
        <f t="shared" si="13"/>
        <v>187</v>
      </c>
      <c r="C190" s="9">
        <f t="shared" si="14"/>
        <v>0.06</v>
      </c>
      <c r="D190" s="142">
        <f t="shared" si="10"/>
        <v>5.1430128318229462E-3</v>
      </c>
      <c r="E190" s="9">
        <f t="shared" si="11"/>
        <v>0.06</v>
      </c>
      <c r="F190" s="142">
        <f t="shared" si="10"/>
        <v>5.1430128318229462E-3</v>
      </c>
      <c r="G190" s="9">
        <f t="shared" si="11"/>
        <v>0.12</v>
      </c>
      <c r="H190" s="142">
        <f t="shared" si="12"/>
        <v>1.0596241035318976E-2</v>
      </c>
    </row>
    <row r="191" spans="2:8" x14ac:dyDescent="0.25">
      <c r="B191" s="3">
        <f t="shared" si="13"/>
        <v>188</v>
      </c>
      <c r="C191" s="9">
        <f t="shared" si="14"/>
        <v>0.06</v>
      </c>
      <c r="D191" s="142">
        <f t="shared" si="10"/>
        <v>5.1430128318229462E-3</v>
      </c>
      <c r="E191" s="9">
        <f t="shared" si="11"/>
        <v>0.06</v>
      </c>
      <c r="F191" s="142">
        <f t="shared" si="10"/>
        <v>5.1430128318229462E-3</v>
      </c>
      <c r="G191" s="9">
        <f t="shared" si="11"/>
        <v>0.12</v>
      </c>
      <c r="H191" s="142">
        <f t="shared" si="12"/>
        <v>1.0596241035318976E-2</v>
      </c>
    </row>
    <row r="192" spans="2:8" x14ac:dyDescent="0.25">
      <c r="B192" s="3">
        <f t="shared" si="13"/>
        <v>189</v>
      </c>
      <c r="C192" s="9">
        <f t="shared" si="14"/>
        <v>0.06</v>
      </c>
      <c r="D192" s="142">
        <f t="shared" si="10"/>
        <v>5.1430128318229462E-3</v>
      </c>
      <c r="E192" s="9">
        <f t="shared" si="11"/>
        <v>0.06</v>
      </c>
      <c r="F192" s="142">
        <f t="shared" si="10"/>
        <v>5.1430128318229462E-3</v>
      </c>
      <c r="G192" s="9">
        <f t="shared" si="11"/>
        <v>0.12</v>
      </c>
      <c r="H192" s="142">
        <f t="shared" si="12"/>
        <v>1.0596241035318976E-2</v>
      </c>
    </row>
    <row r="193" spans="2:8" x14ac:dyDescent="0.25">
      <c r="B193" s="3">
        <f t="shared" si="13"/>
        <v>190</v>
      </c>
      <c r="C193" s="9">
        <f t="shared" si="14"/>
        <v>0.06</v>
      </c>
      <c r="D193" s="142">
        <f t="shared" si="10"/>
        <v>5.1430128318229462E-3</v>
      </c>
      <c r="E193" s="9">
        <f t="shared" si="11"/>
        <v>0.06</v>
      </c>
      <c r="F193" s="142">
        <f t="shared" si="10"/>
        <v>5.1430128318229462E-3</v>
      </c>
      <c r="G193" s="9">
        <f t="shared" si="11"/>
        <v>0.12</v>
      </c>
      <c r="H193" s="142">
        <f t="shared" si="12"/>
        <v>1.0596241035318976E-2</v>
      </c>
    </row>
    <row r="194" spans="2:8" x14ac:dyDescent="0.25">
      <c r="B194" s="3">
        <f t="shared" si="13"/>
        <v>191</v>
      </c>
      <c r="C194" s="9">
        <f t="shared" si="14"/>
        <v>0.06</v>
      </c>
      <c r="D194" s="142">
        <f t="shared" si="10"/>
        <v>5.1430128318229462E-3</v>
      </c>
      <c r="E194" s="9">
        <f t="shared" si="11"/>
        <v>0.06</v>
      </c>
      <c r="F194" s="142">
        <f t="shared" si="10"/>
        <v>5.1430128318229462E-3</v>
      </c>
      <c r="G194" s="9">
        <f t="shared" si="11"/>
        <v>0.12</v>
      </c>
      <c r="H194" s="142">
        <f t="shared" si="12"/>
        <v>1.0596241035318976E-2</v>
      </c>
    </row>
    <row r="195" spans="2:8" x14ac:dyDescent="0.25">
      <c r="B195" s="3">
        <f t="shared" si="13"/>
        <v>192</v>
      </c>
      <c r="C195" s="9">
        <f t="shared" si="14"/>
        <v>0.06</v>
      </c>
      <c r="D195" s="142">
        <f t="shared" si="10"/>
        <v>5.1430128318229462E-3</v>
      </c>
      <c r="E195" s="9">
        <f t="shared" si="11"/>
        <v>0.06</v>
      </c>
      <c r="F195" s="142">
        <f t="shared" si="10"/>
        <v>5.1430128318229462E-3</v>
      </c>
      <c r="G195" s="9">
        <f t="shared" si="11"/>
        <v>0.12</v>
      </c>
      <c r="H195" s="142">
        <f t="shared" si="12"/>
        <v>1.0596241035318976E-2</v>
      </c>
    </row>
    <row r="196" spans="2:8" x14ac:dyDescent="0.25">
      <c r="B196" s="3">
        <f t="shared" si="13"/>
        <v>193</v>
      </c>
      <c r="C196" s="9">
        <f t="shared" si="14"/>
        <v>0.06</v>
      </c>
      <c r="D196" s="142">
        <f t="shared" si="10"/>
        <v>5.1430128318229462E-3</v>
      </c>
      <c r="E196" s="9">
        <f t="shared" si="11"/>
        <v>0.06</v>
      </c>
      <c r="F196" s="142">
        <f t="shared" si="10"/>
        <v>5.1430128318229462E-3</v>
      </c>
      <c r="G196" s="9">
        <f t="shared" si="11"/>
        <v>0.12</v>
      </c>
      <c r="H196" s="142">
        <f t="shared" si="12"/>
        <v>1.0596241035318976E-2</v>
      </c>
    </row>
    <row r="197" spans="2:8" x14ac:dyDescent="0.25">
      <c r="B197" s="3">
        <f t="shared" si="13"/>
        <v>194</v>
      </c>
      <c r="C197" s="9">
        <f t="shared" si="14"/>
        <v>0.06</v>
      </c>
      <c r="D197" s="142">
        <f t="shared" ref="D197:F260" si="15">1-(1-C197)^(1/12)</f>
        <v>5.1430128318229462E-3</v>
      </c>
      <c r="E197" s="9">
        <f t="shared" ref="E197:G260" si="16">MIN((E$2/100)*0.06,(E$2/100)*0.06*$B197/30)</f>
        <v>0.06</v>
      </c>
      <c r="F197" s="142">
        <f t="shared" si="15"/>
        <v>5.1430128318229462E-3</v>
      </c>
      <c r="G197" s="9">
        <f t="shared" si="16"/>
        <v>0.12</v>
      </c>
      <c r="H197" s="142">
        <f t="shared" ref="H197:H260" si="17">1-(1-G197)^(1/12)</f>
        <v>1.0596241035318976E-2</v>
      </c>
    </row>
    <row r="198" spans="2:8" x14ac:dyDescent="0.25">
      <c r="B198" s="3">
        <f t="shared" ref="B198:B261" si="18">1+B197</f>
        <v>195</v>
      </c>
      <c r="C198" s="9">
        <f t="shared" ref="C198:C261" si="19">C197</f>
        <v>0.06</v>
      </c>
      <c r="D198" s="142">
        <f t="shared" si="15"/>
        <v>5.1430128318229462E-3</v>
      </c>
      <c r="E198" s="9">
        <f t="shared" si="16"/>
        <v>0.06</v>
      </c>
      <c r="F198" s="142">
        <f t="shared" si="15"/>
        <v>5.1430128318229462E-3</v>
      </c>
      <c r="G198" s="9">
        <f t="shared" si="16"/>
        <v>0.12</v>
      </c>
      <c r="H198" s="142">
        <f t="shared" si="17"/>
        <v>1.0596241035318976E-2</v>
      </c>
    </row>
    <row r="199" spans="2:8" x14ac:dyDescent="0.25">
      <c r="B199" s="3">
        <f t="shared" si="18"/>
        <v>196</v>
      </c>
      <c r="C199" s="9">
        <f t="shared" si="19"/>
        <v>0.06</v>
      </c>
      <c r="D199" s="142">
        <f t="shared" si="15"/>
        <v>5.1430128318229462E-3</v>
      </c>
      <c r="E199" s="9">
        <f t="shared" si="16"/>
        <v>0.06</v>
      </c>
      <c r="F199" s="142">
        <f t="shared" si="15"/>
        <v>5.1430128318229462E-3</v>
      </c>
      <c r="G199" s="9">
        <f t="shared" si="16"/>
        <v>0.12</v>
      </c>
      <c r="H199" s="142">
        <f t="shared" si="17"/>
        <v>1.0596241035318976E-2</v>
      </c>
    </row>
    <row r="200" spans="2:8" x14ac:dyDescent="0.25">
      <c r="B200" s="3">
        <f t="shared" si="18"/>
        <v>197</v>
      </c>
      <c r="C200" s="9">
        <f t="shared" si="19"/>
        <v>0.06</v>
      </c>
      <c r="D200" s="142">
        <f t="shared" si="15"/>
        <v>5.1430128318229462E-3</v>
      </c>
      <c r="E200" s="9">
        <f t="shared" si="16"/>
        <v>0.06</v>
      </c>
      <c r="F200" s="142">
        <f t="shared" si="15"/>
        <v>5.1430128318229462E-3</v>
      </c>
      <c r="G200" s="9">
        <f t="shared" si="16"/>
        <v>0.12</v>
      </c>
      <c r="H200" s="142">
        <f t="shared" si="17"/>
        <v>1.0596241035318976E-2</v>
      </c>
    </row>
    <row r="201" spans="2:8" x14ac:dyDescent="0.25">
      <c r="B201" s="3">
        <f t="shared" si="18"/>
        <v>198</v>
      </c>
      <c r="C201" s="9">
        <f t="shared" si="19"/>
        <v>0.06</v>
      </c>
      <c r="D201" s="142">
        <f t="shared" si="15"/>
        <v>5.1430128318229462E-3</v>
      </c>
      <c r="E201" s="9">
        <f t="shared" si="16"/>
        <v>0.06</v>
      </c>
      <c r="F201" s="142">
        <f t="shared" si="15"/>
        <v>5.1430128318229462E-3</v>
      </c>
      <c r="G201" s="9">
        <f t="shared" si="16"/>
        <v>0.12</v>
      </c>
      <c r="H201" s="142">
        <f t="shared" si="17"/>
        <v>1.0596241035318976E-2</v>
      </c>
    </row>
    <row r="202" spans="2:8" x14ac:dyDescent="0.25">
      <c r="B202" s="3">
        <f t="shared" si="18"/>
        <v>199</v>
      </c>
      <c r="C202" s="9">
        <f t="shared" si="19"/>
        <v>0.06</v>
      </c>
      <c r="D202" s="142">
        <f t="shared" si="15"/>
        <v>5.1430128318229462E-3</v>
      </c>
      <c r="E202" s="9">
        <f t="shared" si="16"/>
        <v>0.06</v>
      </c>
      <c r="F202" s="142">
        <f t="shared" si="15"/>
        <v>5.1430128318229462E-3</v>
      </c>
      <c r="G202" s="9">
        <f t="shared" si="16"/>
        <v>0.12</v>
      </c>
      <c r="H202" s="142">
        <f t="shared" si="17"/>
        <v>1.0596241035318976E-2</v>
      </c>
    </row>
    <row r="203" spans="2:8" x14ac:dyDescent="0.25">
      <c r="B203" s="3">
        <f t="shared" si="18"/>
        <v>200</v>
      </c>
      <c r="C203" s="9">
        <f t="shared" si="19"/>
        <v>0.06</v>
      </c>
      <c r="D203" s="142">
        <f t="shared" si="15"/>
        <v>5.1430128318229462E-3</v>
      </c>
      <c r="E203" s="9">
        <f t="shared" si="16"/>
        <v>0.06</v>
      </c>
      <c r="F203" s="142">
        <f t="shared" si="15"/>
        <v>5.1430128318229462E-3</v>
      </c>
      <c r="G203" s="9">
        <f t="shared" si="16"/>
        <v>0.12</v>
      </c>
      <c r="H203" s="142">
        <f t="shared" si="17"/>
        <v>1.0596241035318976E-2</v>
      </c>
    </row>
    <row r="204" spans="2:8" x14ac:dyDescent="0.25">
      <c r="B204" s="3">
        <f t="shared" si="18"/>
        <v>201</v>
      </c>
      <c r="C204" s="9">
        <f t="shared" si="19"/>
        <v>0.06</v>
      </c>
      <c r="D204" s="142">
        <f t="shared" si="15"/>
        <v>5.1430128318229462E-3</v>
      </c>
      <c r="E204" s="9">
        <f t="shared" si="16"/>
        <v>0.06</v>
      </c>
      <c r="F204" s="142">
        <f t="shared" si="15"/>
        <v>5.1430128318229462E-3</v>
      </c>
      <c r="G204" s="9">
        <f t="shared" si="16"/>
        <v>0.12</v>
      </c>
      <c r="H204" s="142">
        <f t="shared" si="17"/>
        <v>1.0596241035318976E-2</v>
      </c>
    </row>
    <row r="205" spans="2:8" x14ac:dyDescent="0.25">
      <c r="B205" s="3">
        <f t="shared" si="18"/>
        <v>202</v>
      </c>
      <c r="C205" s="9">
        <f t="shared" si="19"/>
        <v>0.06</v>
      </c>
      <c r="D205" s="142">
        <f t="shared" si="15"/>
        <v>5.1430128318229462E-3</v>
      </c>
      <c r="E205" s="9">
        <f t="shared" si="16"/>
        <v>0.06</v>
      </c>
      <c r="F205" s="142">
        <f t="shared" si="15"/>
        <v>5.1430128318229462E-3</v>
      </c>
      <c r="G205" s="9">
        <f t="shared" si="16"/>
        <v>0.12</v>
      </c>
      <c r="H205" s="142">
        <f t="shared" si="17"/>
        <v>1.0596241035318976E-2</v>
      </c>
    </row>
    <row r="206" spans="2:8" x14ac:dyDescent="0.25">
      <c r="B206" s="3">
        <f t="shared" si="18"/>
        <v>203</v>
      </c>
      <c r="C206" s="9">
        <f t="shared" si="19"/>
        <v>0.06</v>
      </c>
      <c r="D206" s="142">
        <f t="shared" si="15"/>
        <v>5.1430128318229462E-3</v>
      </c>
      <c r="E206" s="9">
        <f t="shared" si="16"/>
        <v>0.06</v>
      </c>
      <c r="F206" s="142">
        <f t="shared" si="15"/>
        <v>5.1430128318229462E-3</v>
      </c>
      <c r="G206" s="9">
        <f t="shared" si="16"/>
        <v>0.12</v>
      </c>
      <c r="H206" s="142">
        <f t="shared" si="17"/>
        <v>1.0596241035318976E-2</v>
      </c>
    </row>
    <row r="207" spans="2:8" x14ac:dyDescent="0.25">
      <c r="B207" s="3">
        <f t="shared" si="18"/>
        <v>204</v>
      </c>
      <c r="C207" s="9">
        <f t="shared" si="19"/>
        <v>0.06</v>
      </c>
      <c r="D207" s="142">
        <f t="shared" si="15"/>
        <v>5.1430128318229462E-3</v>
      </c>
      <c r="E207" s="9">
        <f t="shared" si="16"/>
        <v>0.06</v>
      </c>
      <c r="F207" s="142">
        <f t="shared" si="15"/>
        <v>5.1430128318229462E-3</v>
      </c>
      <c r="G207" s="9">
        <f t="shared" si="16"/>
        <v>0.12</v>
      </c>
      <c r="H207" s="142">
        <f t="shared" si="17"/>
        <v>1.0596241035318976E-2</v>
      </c>
    </row>
    <row r="208" spans="2:8" x14ac:dyDescent="0.25">
      <c r="B208" s="3">
        <f t="shared" si="18"/>
        <v>205</v>
      </c>
      <c r="C208" s="9">
        <f t="shared" si="19"/>
        <v>0.06</v>
      </c>
      <c r="D208" s="142">
        <f t="shared" si="15"/>
        <v>5.1430128318229462E-3</v>
      </c>
      <c r="E208" s="9">
        <f t="shared" si="16"/>
        <v>0.06</v>
      </c>
      <c r="F208" s="142">
        <f t="shared" si="15"/>
        <v>5.1430128318229462E-3</v>
      </c>
      <c r="G208" s="9">
        <f t="shared" si="16"/>
        <v>0.12</v>
      </c>
      <c r="H208" s="142">
        <f t="shared" si="17"/>
        <v>1.0596241035318976E-2</v>
      </c>
    </row>
    <row r="209" spans="2:8" x14ac:dyDescent="0.25">
      <c r="B209" s="3">
        <f t="shared" si="18"/>
        <v>206</v>
      </c>
      <c r="C209" s="9">
        <f t="shared" si="19"/>
        <v>0.06</v>
      </c>
      <c r="D209" s="142">
        <f t="shared" si="15"/>
        <v>5.1430128318229462E-3</v>
      </c>
      <c r="E209" s="9">
        <f t="shared" si="16"/>
        <v>0.06</v>
      </c>
      <c r="F209" s="142">
        <f t="shared" si="15"/>
        <v>5.1430128318229462E-3</v>
      </c>
      <c r="G209" s="9">
        <f t="shared" si="16"/>
        <v>0.12</v>
      </c>
      <c r="H209" s="142">
        <f t="shared" si="17"/>
        <v>1.0596241035318976E-2</v>
      </c>
    </row>
    <row r="210" spans="2:8" x14ac:dyDescent="0.25">
      <c r="B210" s="3">
        <f t="shared" si="18"/>
        <v>207</v>
      </c>
      <c r="C210" s="9">
        <f t="shared" si="19"/>
        <v>0.06</v>
      </c>
      <c r="D210" s="142">
        <f t="shared" si="15"/>
        <v>5.1430128318229462E-3</v>
      </c>
      <c r="E210" s="9">
        <f t="shared" si="16"/>
        <v>0.06</v>
      </c>
      <c r="F210" s="142">
        <f t="shared" si="15"/>
        <v>5.1430128318229462E-3</v>
      </c>
      <c r="G210" s="9">
        <f t="shared" si="16"/>
        <v>0.12</v>
      </c>
      <c r="H210" s="142">
        <f t="shared" si="17"/>
        <v>1.0596241035318976E-2</v>
      </c>
    </row>
    <row r="211" spans="2:8" x14ac:dyDescent="0.25">
      <c r="B211" s="3">
        <f t="shared" si="18"/>
        <v>208</v>
      </c>
      <c r="C211" s="9">
        <f t="shared" si="19"/>
        <v>0.06</v>
      </c>
      <c r="D211" s="142">
        <f t="shared" si="15"/>
        <v>5.1430128318229462E-3</v>
      </c>
      <c r="E211" s="9">
        <f t="shared" si="16"/>
        <v>0.06</v>
      </c>
      <c r="F211" s="142">
        <f t="shared" si="15"/>
        <v>5.1430128318229462E-3</v>
      </c>
      <c r="G211" s="9">
        <f t="shared" si="16"/>
        <v>0.12</v>
      </c>
      <c r="H211" s="142">
        <f t="shared" si="17"/>
        <v>1.0596241035318976E-2</v>
      </c>
    </row>
    <row r="212" spans="2:8" x14ac:dyDescent="0.25">
      <c r="B212" s="3">
        <f t="shared" si="18"/>
        <v>209</v>
      </c>
      <c r="C212" s="9">
        <f t="shared" si="19"/>
        <v>0.06</v>
      </c>
      <c r="D212" s="142">
        <f t="shared" si="15"/>
        <v>5.1430128318229462E-3</v>
      </c>
      <c r="E212" s="9">
        <f t="shared" si="16"/>
        <v>0.06</v>
      </c>
      <c r="F212" s="142">
        <f t="shared" si="15"/>
        <v>5.1430128318229462E-3</v>
      </c>
      <c r="G212" s="9">
        <f t="shared" si="16"/>
        <v>0.12</v>
      </c>
      <c r="H212" s="142">
        <f t="shared" si="17"/>
        <v>1.0596241035318976E-2</v>
      </c>
    </row>
    <row r="213" spans="2:8" x14ac:dyDescent="0.25">
      <c r="B213" s="3">
        <f t="shared" si="18"/>
        <v>210</v>
      </c>
      <c r="C213" s="9">
        <f t="shared" si="19"/>
        <v>0.06</v>
      </c>
      <c r="D213" s="142">
        <f t="shared" si="15"/>
        <v>5.1430128318229462E-3</v>
      </c>
      <c r="E213" s="9">
        <f t="shared" si="16"/>
        <v>0.06</v>
      </c>
      <c r="F213" s="142">
        <f t="shared" si="15"/>
        <v>5.1430128318229462E-3</v>
      </c>
      <c r="G213" s="9">
        <f t="shared" si="16"/>
        <v>0.12</v>
      </c>
      <c r="H213" s="142">
        <f t="shared" si="17"/>
        <v>1.0596241035318976E-2</v>
      </c>
    </row>
    <row r="214" spans="2:8" x14ac:dyDescent="0.25">
      <c r="B214" s="3">
        <f t="shared" si="18"/>
        <v>211</v>
      </c>
      <c r="C214" s="9">
        <f t="shared" si="19"/>
        <v>0.06</v>
      </c>
      <c r="D214" s="142">
        <f t="shared" si="15"/>
        <v>5.1430128318229462E-3</v>
      </c>
      <c r="E214" s="9">
        <f t="shared" si="16"/>
        <v>0.06</v>
      </c>
      <c r="F214" s="142">
        <f t="shared" si="15"/>
        <v>5.1430128318229462E-3</v>
      </c>
      <c r="G214" s="9">
        <f t="shared" si="16"/>
        <v>0.12</v>
      </c>
      <c r="H214" s="142">
        <f t="shared" si="17"/>
        <v>1.0596241035318976E-2</v>
      </c>
    </row>
    <row r="215" spans="2:8" x14ac:dyDescent="0.25">
      <c r="B215" s="3">
        <f t="shared" si="18"/>
        <v>212</v>
      </c>
      <c r="C215" s="9">
        <f t="shared" si="19"/>
        <v>0.06</v>
      </c>
      <c r="D215" s="142">
        <f t="shared" si="15"/>
        <v>5.1430128318229462E-3</v>
      </c>
      <c r="E215" s="9">
        <f t="shared" si="16"/>
        <v>0.06</v>
      </c>
      <c r="F215" s="142">
        <f t="shared" si="15"/>
        <v>5.1430128318229462E-3</v>
      </c>
      <c r="G215" s="9">
        <f t="shared" si="16"/>
        <v>0.12</v>
      </c>
      <c r="H215" s="142">
        <f t="shared" si="17"/>
        <v>1.0596241035318976E-2</v>
      </c>
    </row>
    <row r="216" spans="2:8" x14ac:dyDescent="0.25">
      <c r="B216" s="3">
        <f t="shared" si="18"/>
        <v>213</v>
      </c>
      <c r="C216" s="9">
        <f t="shared" si="19"/>
        <v>0.06</v>
      </c>
      <c r="D216" s="142">
        <f t="shared" si="15"/>
        <v>5.1430128318229462E-3</v>
      </c>
      <c r="E216" s="9">
        <f t="shared" si="16"/>
        <v>0.06</v>
      </c>
      <c r="F216" s="142">
        <f t="shared" si="15"/>
        <v>5.1430128318229462E-3</v>
      </c>
      <c r="G216" s="9">
        <f t="shared" si="16"/>
        <v>0.12</v>
      </c>
      <c r="H216" s="142">
        <f t="shared" si="17"/>
        <v>1.0596241035318976E-2</v>
      </c>
    </row>
    <row r="217" spans="2:8" x14ac:dyDescent="0.25">
      <c r="B217" s="3">
        <f t="shared" si="18"/>
        <v>214</v>
      </c>
      <c r="C217" s="9">
        <f t="shared" si="19"/>
        <v>0.06</v>
      </c>
      <c r="D217" s="142">
        <f t="shared" si="15"/>
        <v>5.1430128318229462E-3</v>
      </c>
      <c r="E217" s="9">
        <f t="shared" si="16"/>
        <v>0.06</v>
      </c>
      <c r="F217" s="142">
        <f t="shared" si="15"/>
        <v>5.1430128318229462E-3</v>
      </c>
      <c r="G217" s="9">
        <f t="shared" si="16"/>
        <v>0.12</v>
      </c>
      <c r="H217" s="142">
        <f t="shared" si="17"/>
        <v>1.0596241035318976E-2</v>
      </c>
    </row>
    <row r="218" spans="2:8" x14ac:dyDescent="0.25">
      <c r="B218" s="3">
        <f t="shared" si="18"/>
        <v>215</v>
      </c>
      <c r="C218" s="9">
        <f t="shared" si="19"/>
        <v>0.06</v>
      </c>
      <c r="D218" s="142">
        <f t="shared" si="15"/>
        <v>5.1430128318229462E-3</v>
      </c>
      <c r="E218" s="9">
        <f t="shared" si="16"/>
        <v>0.06</v>
      </c>
      <c r="F218" s="142">
        <f t="shared" si="15"/>
        <v>5.1430128318229462E-3</v>
      </c>
      <c r="G218" s="9">
        <f t="shared" si="16"/>
        <v>0.12</v>
      </c>
      <c r="H218" s="142">
        <f t="shared" si="17"/>
        <v>1.0596241035318976E-2</v>
      </c>
    </row>
    <row r="219" spans="2:8" x14ac:dyDescent="0.25">
      <c r="B219" s="3">
        <f t="shared" si="18"/>
        <v>216</v>
      </c>
      <c r="C219" s="9">
        <f t="shared" si="19"/>
        <v>0.06</v>
      </c>
      <c r="D219" s="142">
        <f t="shared" si="15"/>
        <v>5.1430128318229462E-3</v>
      </c>
      <c r="E219" s="9">
        <f t="shared" si="16"/>
        <v>0.06</v>
      </c>
      <c r="F219" s="142">
        <f t="shared" si="15"/>
        <v>5.1430128318229462E-3</v>
      </c>
      <c r="G219" s="9">
        <f t="shared" si="16"/>
        <v>0.12</v>
      </c>
      <c r="H219" s="142">
        <f t="shared" si="17"/>
        <v>1.0596241035318976E-2</v>
      </c>
    </row>
    <row r="220" spans="2:8" x14ac:dyDescent="0.25">
      <c r="B220" s="3">
        <f t="shared" si="18"/>
        <v>217</v>
      </c>
      <c r="C220" s="9">
        <f t="shared" si="19"/>
        <v>0.06</v>
      </c>
      <c r="D220" s="142">
        <f t="shared" si="15"/>
        <v>5.1430128318229462E-3</v>
      </c>
      <c r="E220" s="9">
        <f t="shared" si="16"/>
        <v>0.06</v>
      </c>
      <c r="F220" s="142">
        <f t="shared" si="15"/>
        <v>5.1430128318229462E-3</v>
      </c>
      <c r="G220" s="9">
        <f t="shared" si="16"/>
        <v>0.12</v>
      </c>
      <c r="H220" s="142">
        <f t="shared" si="17"/>
        <v>1.0596241035318976E-2</v>
      </c>
    </row>
    <row r="221" spans="2:8" x14ac:dyDescent="0.25">
      <c r="B221" s="3">
        <f t="shared" si="18"/>
        <v>218</v>
      </c>
      <c r="C221" s="9">
        <f t="shared" si="19"/>
        <v>0.06</v>
      </c>
      <c r="D221" s="142">
        <f t="shared" si="15"/>
        <v>5.1430128318229462E-3</v>
      </c>
      <c r="E221" s="9">
        <f t="shared" si="16"/>
        <v>0.06</v>
      </c>
      <c r="F221" s="142">
        <f t="shared" si="15"/>
        <v>5.1430128318229462E-3</v>
      </c>
      <c r="G221" s="9">
        <f t="shared" si="16"/>
        <v>0.12</v>
      </c>
      <c r="H221" s="142">
        <f t="shared" si="17"/>
        <v>1.0596241035318976E-2</v>
      </c>
    </row>
    <row r="222" spans="2:8" x14ac:dyDescent="0.25">
      <c r="B222" s="3">
        <f t="shared" si="18"/>
        <v>219</v>
      </c>
      <c r="C222" s="9">
        <f t="shared" si="19"/>
        <v>0.06</v>
      </c>
      <c r="D222" s="142">
        <f t="shared" si="15"/>
        <v>5.1430128318229462E-3</v>
      </c>
      <c r="E222" s="9">
        <f t="shared" si="16"/>
        <v>0.06</v>
      </c>
      <c r="F222" s="142">
        <f t="shared" si="15"/>
        <v>5.1430128318229462E-3</v>
      </c>
      <c r="G222" s="9">
        <f t="shared" si="16"/>
        <v>0.12</v>
      </c>
      <c r="H222" s="142">
        <f t="shared" si="17"/>
        <v>1.0596241035318976E-2</v>
      </c>
    </row>
    <row r="223" spans="2:8" x14ac:dyDescent="0.25">
      <c r="B223" s="3">
        <f t="shared" si="18"/>
        <v>220</v>
      </c>
      <c r="C223" s="9">
        <f t="shared" si="19"/>
        <v>0.06</v>
      </c>
      <c r="D223" s="142">
        <f t="shared" si="15"/>
        <v>5.1430128318229462E-3</v>
      </c>
      <c r="E223" s="9">
        <f t="shared" si="16"/>
        <v>0.06</v>
      </c>
      <c r="F223" s="142">
        <f t="shared" si="15"/>
        <v>5.1430128318229462E-3</v>
      </c>
      <c r="G223" s="9">
        <f t="shared" si="16"/>
        <v>0.12</v>
      </c>
      <c r="H223" s="142">
        <f t="shared" si="17"/>
        <v>1.0596241035318976E-2</v>
      </c>
    </row>
    <row r="224" spans="2:8" x14ac:dyDescent="0.25">
      <c r="B224" s="3">
        <f t="shared" si="18"/>
        <v>221</v>
      </c>
      <c r="C224" s="9">
        <f t="shared" si="19"/>
        <v>0.06</v>
      </c>
      <c r="D224" s="142">
        <f t="shared" si="15"/>
        <v>5.1430128318229462E-3</v>
      </c>
      <c r="E224" s="9">
        <f t="shared" si="16"/>
        <v>0.06</v>
      </c>
      <c r="F224" s="142">
        <f t="shared" si="15"/>
        <v>5.1430128318229462E-3</v>
      </c>
      <c r="G224" s="9">
        <f t="shared" si="16"/>
        <v>0.12</v>
      </c>
      <c r="H224" s="142">
        <f t="shared" si="17"/>
        <v>1.0596241035318976E-2</v>
      </c>
    </row>
    <row r="225" spans="2:8" x14ac:dyDescent="0.25">
      <c r="B225" s="3">
        <f t="shared" si="18"/>
        <v>222</v>
      </c>
      <c r="C225" s="9">
        <f t="shared" si="19"/>
        <v>0.06</v>
      </c>
      <c r="D225" s="142">
        <f t="shared" si="15"/>
        <v>5.1430128318229462E-3</v>
      </c>
      <c r="E225" s="9">
        <f t="shared" si="16"/>
        <v>0.06</v>
      </c>
      <c r="F225" s="142">
        <f t="shared" si="15"/>
        <v>5.1430128318229462E-3</v>
      </c>
      <c r="G225" s="9">
        <f t="shared" si="16"/>
        <v>0.12</v>
      </c>
      <c r="H225" s="142">
        <f t="shared" si="17"/>
        <v>1.0596241035318976E-2</v>
      </c>
    </row>
    <row r="226" spans="2:8" x14ac:dyDescent="0.25">
      <c r="B226" s="3">
        <f t="shared" si="18"/>
        <v>223</v>
      </c>
      <c r="C226" s="9">
        <f t="shared" si="19"/>
        <v>0.06</v>
      </c>
      <c r="D226" s="142">
        <f t="shared" si="15"/>
        <v>5.1430128318229462E-3</v>
      </c>
      <c r="E226" s="9">
        <f t="shared" si="16"/>
        <v>0.06</v>
      </c>
      <c r="F226" s="142">
        <f t="shared" si="15"/>
        <v>5.1430128318229462E-3</v>
      </c>
      <c r="G226" s="9">
        <f t="shared" si="16"/>
        <v>0.12</v>
      </c>
      <c r="H226" s="142">
        <f t="shared" si="17"/>
        <v>1.0596241035318976E-2</v>
      </c>
    </row>
    <row r="227" spans="2:8" x14ac:dyDescent="0.25">
      <c r="B227" s="3">
        <f t="shared" si="18"/>
        <v>224</v>
      </c>
      <c r="C227" s="9">
        <f t="shared" si="19"/>
        <v>0.06</v>
      </c>
      <c r="D227" s="142">
        <f t="shared" si="15"/>
        <v>5.1430128318229462E-3</v>
      </c>
      <c r="E227" s="9">
        <f t="shared" si="16"/>
        <v>0.06</v>
      </c>
      <c r="F227" s="142">
        <f t="shared" si="15"/>
        <v>5.1430128318229462E-3</v>
      </c>
      <c r="G227" s="9">
        <f t="shared" si="16"/>
        <v>0.12</v>
      </c>
      <c r="H227" s="142">
        <f t="shared" si="17"/>
        <v>1.0596241035318976E-2</v>
      </c>
    </row>
    <row r="228" spans="2:8" x14ac:dyDescent="0.25">
      <c r="B228" s="3">
        <f t="shared" si="18"/>
        <v>225</v>
      </c>
      <c r="C228" s="9">
        <f t="shared" si="19"/>
        <v>0.06</v>
      </c>
      <c r="D228" s="142">
        <f t="shared" si="15"/>
        <v>5.1430128318229462E-3</v>
      </c>
      <c r="E228" s="9">
        <f t="shared" si="16"/>
        <v>0.06</v>
      </c>
      <c r="F228" s="142">
        <f t="shared" si="15"/>
        <v>5.1430128318229462E-3</v>
      </c>
      <c r="G228" s="9">
        <f t="shared" si="16"/>
        <v>0.12</v>
      </c>
      <c r="H228" s="142">
        <f t="shared" si="17"/>
        <v>1.0596241035318976E-2</v>
      </c>
    </row>
    <row r="229" spans="2:8" x14ac:dyDescent="0.25">
      <c r="B229" s="3">
        <f t="shared" si="18"/>
        <v>226</v>
      </c>
      <c r="C229" s="9">
        <f t="shared" si="19"/>
        <v>0.06</v>
      </c>
      <c r="D229" s="142">
        <f t="shared" si="15"/>
        <v>5.1430128318229462E-3</v>
      </c>
      <c r="E229" s="9">
        <f t="shared" si="16"/>
        <v>0.06</v>
      </c>
      <c r="F229" s="142">
        <f t="shared" si="15"/>
        <v>5.1430128318229462E-3</v>
      </c>
      <c r="G229" s="9">
        <f t="shared" si="16"/>
        <v>0.12</v>
      </c>
      <c r="H229" s="142">
        <f t="shared" si="17"/>
        <v>1.0596241035318976E-2</v>
      </c>
    </row>
    <row r="230" spans="2:8" x14ac:dyDescent="0.25">
      <c r="B230" s="3">
        <f t="shared" si="18"/>
        <v>227</v>
      </c>
      <c r="C230" s="9">
        <f t="shared" si="19"/>
        <v>0.06</v>
      </c>
      <c r="D230" s="142">
        <f t="shared" si="15"/>
        <v>5.1430128318229462E-3</v>
      </c>
      <c r="E230" s="9">
        <f t="shared" si="16"/>
        <v>0.06</v>
      </c>
      <c r="F230" s="142">
        <f t="shared" si="15"/>
        <v>5.1430128318229462E-3</v>
      </c>
      <c r="G230" s="9">
        <f t="shared" si="16"/>
        <v>0.12</v>
      </c>
      <c r="H230" s="142">
        <f t="shared" si="17"/>
        <v>1.0596241035318976E-2</v>
      </c>
    </row>
    <row r="231" spans="2:8" x14ac:dyDescent="0.25">
      <c r="B231" s="3">
        <f t="shared" si="18"/>
        <v>228</v>
      </c>
      <c r="C231" s="9">
        <f t="shared" si="19"/>
        <v>0.06</v>
      </c>
      <c r="D231" s="142">
        <f t="shared" si="15"/>
        <v>5.1430128318229462E-3</v>
      </c>
      <c r="E231" s="9">
        <f t="shared" si="16"/>
        <v>0.06</v>
      </c>
      <c r="F231" s="142">
        <f t="shared" si="15"/>
        <v>5.1430128318229462E-3</v>
      </c>
      <c r="G231" s="9">
        <f t="shared" si="16"/>
        <v>0.12</v>
      </c>
      <c r="H231" s="142">
        <f t="shared" si="17"/>
        <v>1.0596241035318976E-2</v>
      </c>
    </row>
    <row r="232" spans="2:8" x14ac:dyDescent="0.25">
      <c r="B232" s="3">
        <f t="shared" si="18"/>
        <v>229</v>
      </c>
      <c r="C232" s="9">
        <f t="shared" si="19"/>
        <v>0.06</v>
      </c>
      <c r="D232" s="142">
        <f t="shared" si="15"/>
        <v>5.1430128318229462E-3</v>
      </c>
      <c r="E232" s="9">
        <f t="shared" si="16"/>
        <v>0.06</v>
      </c>
      <c r="F232" s="142">
        <f t="shared" si="15"/>
        <v>5.1430128318229462E-3</v>
      </c>
      <c r="G232" s="9">
        <f t="shared" si="16"/>
        <v>0.12</v>
      </c>
      <c r="H232" s="142">
        <f t="shared" si="17"/>
        <v>1.0596241035318976E-2</v>
      </c>
    </row>
    <row r="233" spans="2:8" x14ac:dyDescent="0.25">
      <c r="B233" s="3">
        <f t="shared" si="18"/>
        <v>230</v>
      </c>
      <c r="C233" s="9">
        <f t="shared" si="19"/>
        <v>0.06</v>
      </c>
      <c r="D233" s="142">
        <f t="shared" si="15"/>
        <v>5.1430128318229462E-3</v>
      </c>
      <c r="E233" s="9">
        <f t="shared" si="16"/>
        <v>0.06</v>
      </c>
      <c r="F233" s="142">
        <f t="shared" si="15"/>
        <v>5.1430128318229462E-3</v>
      </c>
      <c r="G233" s="9">
        <f t="shared" si="16"/>
        <v>0.12</v>
      </c>
      <c r="H233" s="142">
        <f t="shared" si="17"/>
        <v>1.0596241035318976E-2</v>
      </c>
    </row>
    <row r="234" spans="2:8" x14ac:dyDescent="0.25">
      <c r="B234" s="3">
        <f t="shared" si="18"/>
        <v>231</v>
      </c>
      <c r="C234" s="9">
        <f t="shared" si="19"/>
        <v>0.06</v>
      </c>
      <c r="D234" s="142">
        <f t="shared" si="15"/>
        <v>5.1430128318229462E-3</v>
      </c>
      <c r="E234" s="9">
        <f t="shared" si="16"/>
        <v>0.06</v>
      </c>
      <c r="F234" s="142">
        <f t="shared" si="15"/>
        <v>5.1430128318229462E-3</v>
      </c>
      <c r="G234" s="9">
        <f t="shared" si="16"/>
        <v>0.12</v>
      </c>
      <c r="H234" s="142">
        <f t="shared" si="17"/>
        <v>1.0596241035318976E-2</v>
      </c>
    </row>
    <row r="235" spans="2:8" x14ac:dyDescent="0.25">
      <c r="B235" s="3">
        <f t="shared" si="18"/>
        <v>232</v>
      </c>
      <c r="C235" s="9">
        <f t="shared" si="19"/>
        <v>0.06</v>
      </c>
      <c r="D235" s="142">
        <f t="shared" si="15"/>
        <v>5.1430128318229462E-3</v>
      </c>
      <c r="E235" s="9">
        <f t="shared" si="16"/>
        <v>0.06</v>
      </c>
      <c r="F235" s="142">
        <f t="shared" si="15"/>
        <v>5.1430128318229462E-3</v>
      </c>
      <c r="G235" s="9">
        <f t="shared" si="16"/>
        <v>0.12</v>
      </c>
      <c r="H235" s="142">
        <f t="shared" si="17"/>
        <v>1.0596241035318976E-2</v>
      </c>
    </row>
    <row r="236" spans="2:8" x14ac:dyDescent="0.25">
      <c r="B236" s="3">
        <f t="shared" si="18"/>
        <v>233</v>
      </c>
      <c r="C236" s="9">
        <f t="shared" si="19"/>
        <v>0.06</v>
      </c>
      <c r="D236" s="142">
        <f t="shared" si="15"/>
        <v>5.1430128318229462E-3</v>
      </c>
      <c r="E236" s="9">
        <f t="shared" si="16"/>
        <v>0.06</v>
      </c>
      <c r="F236" s="142">
        <f t="shared" si="15"/>
        <v>5.1430128318229462E-3</v>
      </c>
      <c r="G236" s="9">
        <f t="shared" si="16"/>
        <v>0.12</v>
      </c>
      <c r="H236" s="142">
        <f t="shared" si="17"/>
        <v>1.0596241035318976E-2</v>
      </c>
    </row>
    <row r="237" spans="2:8" x14ac:dyDescent="0.25">
      <c r="B237" s="3">
        <f t="shared" si="18"/>
        <v>234</v>
      </c>
      <c r="C237" s="9">
        <f t="shared" si="19"/>
        <v>0.06</v>
      </c>
      <c r="D237" s="142">
        <f t="shared" si="15"/>
        <v>5.1430128318229462E-3</v>
      </c>
      <c r="E237" s="9">
        <f t="shared" si="16"/>
        <v>0.06</v>
      </c>
      <c r="F237" s="142">
        <f t="shared" si="15"/>
        <v>5.1430128318229462E-3</v>
      </c>
      <c r="G237" s="9">
        <f t="shared" si="16"/>
        <v>0.12</v>
      </c>
      <c r="H237" s="142">
        <f t="shared" si="17"/>
        <v>1.0596241035318976E-2</v>
      </c>
    </row>
    <row r="238" spans="2:8" x14ac:dyDescent="0.25">
      <c r="B238" s="3">
        <f t="shared" si="18"/>
        <v>235</v>
      </c>
      <c r="C238" s="9">
        <f t="shared" si="19"/>
        <v>0.06</v>
      </c>
      <c r="D238" s="142">
        <f t="shared" si="15"/>
        <v>5.1430128318229462E-3</v>
      </c>
      <c r="E238" s="9">
        <f t="shared" si="16"/>
        <v>0.06</v>
      </c>
      <c r="F238" s="142">
        <f t="shared" si="15"/>
        <v>5.1430128318229462E-3</v>
      </c>
      <c r="G238" s="9">
        <f t="shared" si="16"/>
        <v>0.12</v>
      </c>
      <c r="H238" s="142">
        <f t="shared" si="17"/>
        <v>1.0596241035318976E-2</v>
      </c>
    </row>
    <row r="239" spans="2:8" x14ac:dyDescent="0.25">
      <c r="B239" s="3">
        <f t="shared" si="18"/>
        <v>236</v>
      </c>
      <c r="C239" s="9">
        <f t="shared" si="19"/>
        <v>0.06</v>
      </c>
      <c r="D239" s="142">
        <f t="shared" si="15"/>
        <v>5.1430128318229462E-3</v>
      </c>
      <c r="E239" s="9">
        <f t="shared" si="16"/>
        <v>0.06</v>
      </c>
      <c r="F239" s="142">
        <f t="shared" si="15"/>
        <v>5.1430128318229462E-3</v>
      </c>
      <c r="G239" s="9">
        <f t="shared" si="16"/>
        <v>0.12</v>
      </c>
      <c r="H239" s="142">
        <f t="shared" si="17"/>
        <v>1.0596241035318976E-2</v>
      </c>
    </row>
    <row r="240" spans="2:8" x14ac:dyDescent="0.25">
      <c r="B240" s="3">
        <f t="shared" si="18"/>
        <v>237</v>
      </c>
      <c r="C240" s="9">
        <f t="shared" si="19"/>
        <v>0.06</v>
      </c>
      <c r="D240" s="142">
        <f t="shared" si="15"/>
        <v>5.1430128318229462E-3</v>
      </c>
      <c r="E240" s="9">
        <f t="shared" si="16"/>
        <v>0.06</v>
      </c>
      <c r="F240" s="142">
        <f t="shared" si="15"/>
        <v>5.1430128318229462E-3</v>
      </c>
      <c r="G240" s="9">
        <f t="shared" si="16"/>
        <v>0.12</v>
      </c>
      <c r="H240" s="142">
        <f t="shared" si="17"/>
        <v>1.0596241035318976E-2</v>
      </c>
    </row>
    <row r="241" spans="2:8" x14ac:dyDescent="0.25">
      <c r="B241" s="3">
        <f t="shared" si="18"/>
        <v>238</v>
      </c>
      <c r="C241" s="9">
        <f t="shared" si="19"/>
        <v>0.06</v>
      </c>
      <c r="D241" s="142">
        <f t="shared" si="15"/>
        <v>5.1430128318229462E-3</v>
      </c>
      <c r="E241" s="9">
        <f t="shared" si="16"/>
        <v>0.06</v>
      </c>
      <c r="F241" s="142">
        <f t="shared" si="15"/>
        <v>5.1430128318229462E-3</v>
      </c>
      <c r="G241" s="9">
        <f t="shared" si="16"/>
        <v>0.12</v>
      </c>
      <c r="H241" s="142">
        <f t="shared" si="17"/>
        <v>1.0596241035318976E-2</v>
      </c>
    </row>
    <row r="242" spans="2:8" x14ac:dyDescent="0.25">
      <c r="B242" s="3">
        <f t="shared" si="18"/>
        <v>239</v>
      </c>
      <c r="C242" s="9">
        <f t="shared" si="19"/>
        <v>0.06</v>
      </c>
      <c r="D242" s="142">
        <f t="shared" si="15"/>
        <v>5.1430128318229462E-3</v>
      </c>
      <c r="E242" s="9">
        <f t="shared" si="16"/>
        <v>0.06</v>
      </c>
      <c r="F242" s="142">
        <f t="shared" si="15"/>
        <v>5.1430128318229462E-3</v>
      </c>
      <c r="G242" s="9">
        <f t="shared" si="16"/>
        <v>0.12</v>
      </c>
      <c r="H242" s="142">
        <f t="shared" si="17"/>
        <v>1.0596241035318976E-2</v>
      </c>
    </row>
    <row r="243" spans="2:8" x14ac:dyDescent="0.25">
      <c r="B243" s="3">
        <f t="shared" si="18"/>
        <v>240</v>
      </c>
      <c r="C243" s="9">
        <f t="shared" si="19"/>
        <v>0.06</v>
      </c>
      <c r="D243" s="142">
        <f t="shared" si="15"/>
        <v>5.1430128318229462E-3</v>
      </c>
      <c r="E243" s="9">
        <f t="shared" si="16"/>
        <v>0.06</v>
      </c>
      <c r="F243" s="142">
        <f t="shared" si="15"/>
        <v>5.1430128318229462E-3</v>
      </c>
      <c r="G243" s="9">
        <f t="shared" si="16"/>
        <v>0.12</v>
      </c>
      <c r="H243" s="142">
        <f t="shared" si="17"/>
        <v>1.0596241035318976E-2</v>
      </c>
    </row>
    <row r="244" spans="2:8" x14ac:dyDescent="0.25">
      <c r="B244" s="3">
        <f t="shared" si="18"/>
        <v>241</v>
      </c>
      <c r="C244" s="9">
        <f t="shared" si="19"/>
        <v>0.06</v>
      </c>
      <c r="D244" s="142">
        <f t="shared" si="15"/>
        <v>5.1430128318229462E-3</v>
      </c>
      <c r="E244" s="9">
        <f t="shared" si="16"/>
        <v>0.06</v>
      </c>
      <c r="F244" s="142">
        <f t="shared" si="15"/>
        <v>5.1430128318229462E-3</v>
      </c>
      <c r="G244" s="9">
        <f t="shared" si="16"/>
        <v>0.12</v>
      </c>
      <c r="H244" s="142">
        <f t="shared" si="17"/>
        <v>1.0596241035318976E-2</v>
      </c>
    </row>
    <row r="245" spans="2:8" x14ac:dyDescent="0.25">
      <c r="B245" s="3">
        <f t="shared" si="18"/>
        <v>242</v>
      </c>
      <c r="C245" s="9">
        <f t="shared" si="19"/>
        <v>0.06</v>
      </c>
      <c r="D245" s="142">
        <f t="shared" si="15"/>
        <v>5.1430128318229462E-3</v>
      </c>
      <c r="E245" s="9">
        <f t="shared" si="16"/>
        <v>0.06</v>
      </c>
      <c r="F245" s="142">
        <f t="shared" si="15"/>
        <v>5.1430128318229462E-3</v>
      </c>
      <c r="G245" s="9">
        <f t="shared" si="16"/>
        <v>0.12</v>
      </c>
      <c r="H245" s="142">
        <f t="shared" si="17"/>
        <v>1.0596241035318976E-2</v>
      </c>
    </row>
    <row r="246" spans="2:8" x14ac:dyDescent="0.25">
      <c r="B246" s="3">
        <f t="shared" si="18"/>
        <v>243</v>
      </c>
      <c r="C246" s="9">
        <f t="shared" si="19"/>
        <v>0.06</v>
      </c>
      <c r="D246" s="142">
        <f t="shared" si="15"/>
        <v>5.1430128318229462E-3</v>
      </c>
      <c r="E246" s="9">
        <f t="shared" si="16"/>
        <v>0.06</v>
      </c>
      <c r="F246" s="142">
        <f t="shared" si="15"/>
        <v>5.1430128318229462E-3</v>
      </c>
      <c r="G246" s="9">
        <f t="shared" si="16"/>
        <v>0.12</v>
      </c>
      <c r="H246" s="142">
        <f t="shared" si="17"/>
        <v>1.0596241035318976E-2</v>
      </c>
    </row>
    <row r="247" spans="2:8" x14ac:dyDescent="0.25">
      <c r="B247" s="3">
        <f t="shared" si="18"/>
        <v>244</v>
      </c>
      <c r="C247" s="9">
        <f t="shared" si="19"/>
        <v>0.06</v>
      </c>
      <c r="D247" s="142">
        <f t="shared" si="15"/>
        <v>5.1430128318229462E-3</v>
      </c>
      <c r="E247" s="9">
        <f t="shared" si="16"/>
        <v>0.06</v>
      </c>
      <c r="F247" s="142">
        <f t="shared" si="15"/>
        <v>5.1430128318229462E-3</v>
      </c>
      <c r="G247" s="9">
        <f t="shared" si="16"/>
        <v>0.12</v>
      </c>
      <c r="H247" s="142">
        <f t="shared" si="17"/>
        <v>1.0596241035318976E-2</v>
      </c>
    </row>
    <row r="248" spans="2:8" x14ac:dyDescent="0.25">
      <c r="B248" s="3">
        <f t="shared" si="18"/>
        <v>245</v>
      </c>
      <c r="C248" s="9">
        <f t="shared" si="19"/>
        <v>0.06</v>
      </c>
      <c r="D248" s="142">
        <f t="shared" si="15"/>
        <v>5.1430128318229462E-3</v>
      </c>
      <c r="E248" s="9">
        <f t="shared" si="16"/>
        <v>0.06</v>
      </c>
      <c r="F248" s="142">
        <f t="shared" si="15"/>
        <v>5.1430128318229462E-3</v>
      </c>
      <c r="G248" s="9">
        <f t="shared" si="16"/>
        <v>0.12</v>
      </c>
      <c r="H248" s="142">
        <f t="shared" si="17"/>
        <v>1.0596241035318976E-2</v>
      </c>
    </row>
    <row r="249" spans="2:8" x14ac:dyDescent="0.25">
      <c r="B249" s="3">
        <f t="shared" si="18"/>
        <v>246</v>
      </c>
      <c r="C249" s="9">
        <f t="shared" si="19"/>
        <v>0.06</v>
      </c>
      <c r="D249" s="142">
        <f t="shared" si="15"/>
        <v>5.1430128318229462E-3</v>
      </c>
      <c r="E249" s="9">
        <f t="shared" si="16"/>
        <v>0.06</v>
      </c>
      <c r="F249" s="142">
        <f t="shared" si="15"/>
        <v>5.1430128318229462E-3</v>
      </c>
      <c r="G249" s="9">
        <f t="shared" si="16"/>
        <v>0.12</v>
      </c>
      <c r="H249" s="142">
        <f t="shared" si="17"/>
        <v>1.0596241035318976E-2</v>
      </c>
    </row>
    <row r="250" spans="2:8" x14ac:dyDescent="0.25">
      <c r="B250" s="3">
        <f t="shared" si="18"/>
        <v>247</v>
      </c>
      <c r="C250" s="9">
        <f t="shared" si="19"/>
        <v>0.06</v>
      </c>
      <c r="D250" s="142">
        <f t="shared" si="15"/>
        <v>5.1430128318229462E-3</v>
      </c>
      <c r="E250" s="9">
        <f t="shared" si="16"/>
        <v>0.06</v>
      </c>
      <c r="F250" s="142">
        <f t="shared" si="15"/>
        <v>5.1430128318229462E-3</v>
      </c>
      <c r="G250" s="9">
        <f t="shared" si="16"/>
        <v>0.12</v>
      </c>
      <c r="H250" s="142">
        <f t="shared" si="17"/>
        <v>1.0596241035318976E-2</v>
      </c>
    </row>
    <row r="251" spans="2:8" x14ac:dyDescent="0.25">
      <c r="B251" s="3">
        <f t="shared" si="18"/>
        <v>248</v>
      </c>
      <c r="C251" s="9">
        <f t="shared" si="19"/>
        <v>0.06</v>
      </c>
      <c r="D251" s="142">
        <f t="shared" si="15"/>
        <v>5.1430128318229462E-3</v>
      </c>
      <c r="E251" s="9">
        <f t="shared" si="16"/>
        <v>0.06</v>
      </c>
      <c r="F251" s="142">
        <f t="shared" si="15"/>
        <v>5.1430128318229462E-3</v>
      </c>
      <c r="G251" s="9">
        <f t="shared" si="16"/>
        <v>0.12</v>
      </c>
      <c r="H251" s="142">
        <f t="shared" si="17"/>
        <v>1.0596241035318976E-2</v>
      </c>
    </row>
    <row r="252" spans="2:8" x14ac:dyDescent="0.25">
      <c r="B252" s="3">
        <f t="shared" si="18"/>
        <v>249</v>
      </c>
      <c r="C252" s="9">
        <f t="shared" si="19"/>
        <v>0.06</v>
      </c>
      <c r="D252" s="142">
        <f t="shared" si="15"/>
        <v>5.1430128318229462E-3</v>
      </c>
      <c r="E252" s="9">
        <f t="shared" si="16"/>
        <v>0.06</v>
      </c>
      <c r="F252" s="142">
        <f t="shared" si="15"/>
        <v>5.1430128318229462E-3</v>
      </c>
      <c r="G252" s="9">
        <f t="shared" si="16"/>
        <v>0.12</v>
      </c>
      <c r="H252" s="142">
        <f t="shared" si="17"/>
        <v>1.0596241035318976E-2</v>
      </c>
    </row>
    <row r="253" spans="2:8" x14ac:dyDescent="0.25">
      <c r="B253" s="3">
        <f t="shared" si="18"/>
        <v>250</v>
      </c>
      <c r="C253" s="9">
        <f t="shared" si="19"/>
        <v>0.06</v>
      </c>
      <c r="D253" s="142">
        <f t="shared" si="15"/>
        <v>5.1430128318229462E-3</v>
      </c>
      <c r="E253" s="9">
        <f t="shared" si="16"/>
        <v>0.06</v>
      </c>
      <c r="F253" s="142">
        <f t="shared" si="15"/>
        <v>5.1430128318229462E-3</v>
      </c>
      <c r="G253" s="9">
        <f t="shared" si="16"/>
        <v>0.12</v>
      </c>
      <c r="H253" s="142">
        <f t="shared" si="17"/>
        <v>1.0596241035318976E-2</v>
      </c>
    </row>
    <row r="254" spans="2:8" x14ac:dyDescent="0.25">
      <c r="B254" s="3">
        <f t="shared" si="18"/>
        <v>251</v>
      </c>
      <c r="C254" s="9">
        <f t="shared" si="19"/>
        <v>0.06</v>
      </c>
      <c r="D254" s="142">
        <f t="shared" si="15"/>
        <v>5.1430128318229462E-3</v>
      </c>
      <c r="E254" s="9">
        <f t="shared" si="16"/>
        <v>0.06</v>
      </c>
      <c r="F254" s="142">
        <f t="shared" si="15"/>
        <v>5.1430128318229462E-3</v>
      </c>
      <c r="G254" s="9">
        <f t="shared" si="16"/>
        <v>0.12</v>
      </c>
      <c r="H254" s="142">
        <f t="shared" si="17"/>
        <v>1.0596241035318976E-2</v>
      </c>
    </row>
    <row r="255" spans="2:8" x14ac:dyDescent="0.25">
      <c r="B255" s="3">
        <f t="shared" si="18"/>
        <v>252</v>
      </c>
      <c r="C255" s="9">
        <f t="shared" si="19"/>
        <v>0.06</v>
      </c>
      <c r="D255" s="142">
        <f t="shared" si="15"/>
        <v>5.1430128318229462E-3</v>
      </c>
      <c r="E255" s="9">
        <f t="shared" si="16"/>
        <v>0.06</v>
      </c>
      <c r="F255" s="142">
        <f t="shared" si="15"/>
        <v>5.1430128318229462E-3</v>
      </c>
      <c r="G255" s="9">
        <f t="shared" si="16"/>
        <v>0.12</v>
      </c>
      <c r="H255" s="142">
        <f t="shared" si="17"/>
        <v>1.0596241035318976E-2</v>
      </c>
    </row>
    <row r="256" spans="2:8" x14ac:dyDescent="0.25">
      <c r="B256" s="3">
        <f t="shared" si="18"/>
        <v>253</v>
      </c>
      <c r="C256" s="9">
        <f t="shared" si="19"/>
        <v>0.06</v>
      </c>
      <c r="D256" s="142">
        <f t="shared" si="15"/>
        <v>5.1430128318229462E-3</v>
      </c>
      <c r="E256" s="9">
        <f t="shared" si="16"/>
        <v>0.06</v>
      </c>
      <c r="F256" s="142">
        <f t="shared" si="15"/>
        <v>5.1430128318229462E-3</v>
      </c>
      <c r="G256" s="9">
        <f t="shared" si="16"/>
        <v>0.12</v>
      </c>
      <c r="H256" s="142">
        <f t="shared" si="17"/>
        <v>1.0596241035318976E-2</v>
      </c>
    </row>
    <row r="257" spans="2:8" x14ac:dyDescent="0.25">
      <c r="B257" s="3">
        <f t="shared" si="18"/>
        <v>254</v>
      </c>
      <c r="C257" s="9">
        <f t="shared" si="19"/>
        <v>0.06</v>
      </c>
      <c r="D257" s="142">
        <f t="shared" si="15"/>
        <v>5.1430128318229462E-3</v>
      </c>
      <c r="E257" s="9">
        <f t="shared" si="16"/>
        <v>0.06</v>
      </c>
      <c r="F257" s="142">
        <f t="shared" si="15"/>
        <v>5.1430128318229462E-3</v>
      </c>
      <c r="G257" s="9">
        <f t="shared" si="16"/>
        <v>0.12</v>
      </c>
      <c r="H257" s="142">
        <f t="shared" si="17"/>
        <v>1.0596241035318976E-2</v>
      </c>
    </row>
    <row r="258" spans="2:8" x14ac:dyDescent="0.25">
      <c r="B258" s="3">
        <f t="shared" si="18"/>
        <v>255</v>
      </c>
      <c r="C258" s="9">
        <f t="shared" si="19"/>
        <v>0.06</v>
      </c>
      <c r="D258" s="142">
        <f t="shared" si="15"/>
        <v>5.1430128318229462E-3</v>
      </c>
      <c r="E258" s="9">
        <f t="shared" si="16"/>
        <v>0.06</v>
      </c>
      <c r="F258" s="142">
        <f t="shared" si="15"/>
        <v>5.1430128318229462E-3</v>
      </c>
      <c r="G258" s="9">
        <f t="shared" si="16"/>
        <v>0.12</v>
      </c>
      <c r="H258" s="142">
        <f t="shared" si="17"/>
        <v>1.0596241035318976E-2</v>
      </c>
    </row>
    <row r="259" spans="2:8" x14ac:dyDescent="0.25">
      <c r="B259" s="3">
        <f t="shared" si="18"/>
        <v>256</v>
      </c>
      <c r="C259" s="9">
        <f t="shared" si="19"/>
        <v>0.06</v>
      </c>
      <c r="D259" s="142">
        <f t="shared" si="15"/>
        <v>5.1430128318229462E-3</v>
      </c>
      <c r="E259" s="9">
        <f t="shared" si="16"/>
        <v>0.06</v>
      </c>
      <c r="F259" s="142">
        <f t="shared" si="15"/>
        <v>5.1430128318229462E-3</v>
      </c>
      <c r="G259" s="9">
        <f t="shared" si="16"/>
        <v>0.12</v>
      </c>
      <c r="H259" s="142">
        <f t="shared" si="17"/>
        <v>1.0596241035318976E-2</v>
      </c>
    </row>
    <row r="260" spans="2:8" x14ac:dyDescent="0.25">
      <c r="B260" s="3">
        <f t="shared" si="18"/>
        <v>257</v>
      </c>
      <c r="C260" s="9">
        <f t="shared" si="19"/>
        <v>0.06</v>
      </c>
      <c r="D260" s="142">
        <f t="shared" si="15"/>
        <v>5.1430128318229462E-3</v>
      </c>
      <c r="E260" s="9">
        <f t="shared" si="16"/>
        <v>0.06</v>
      </c>
      <c r="F260" s="142">
        <f t="shared" si="15"/>
        <v>5.1430128318229462E-3</v>
      </c>
      <c r="G260" s="9">
        <f t="shared" si="16"/>
        <v>0.12</v>
      </c>
      <c r="H260" s="142">
        <f t="shared" si="17"/>
        <v>1.0596241035318976E-2</v>
      </c>
    </row>
    <row r="261" spans="2:8" x14ac:dyDescent="0.25">
      <c r="B261" s="3">
        <f t="shared" si="18"/>
        <v>258</v>
      </c>
      <c r="C261" s="9">
        <f t="shared" si="19"/>
        <v>0.06</v>
      </c>
      <c r="D261" s="142">
        <f t="shared" ref="D261:F324" si="20">1-(1-C261)^(1/12)</f>
        <v>5.1430128318229462E-3</v>
      </c>
      <c r="E261" s="9">
        <f t="shared" ref="E261:G324" si="21">MIN((E$2/100)*0.06,(E$2/100)*0.06*$B261/30)</f>
        <v>0.06</v>
      </c>
      <c r="F261" s="142">
        <f t="shared" si="20"/>
        <v>5.1430128318229462E-3</v>
      </c>
      <c r="G261" s="9">
        <f t="shared" si="21"/>
        <v>0.12</v>
      </c>
      <c r="H261" s="142">
        <f t="shared" ref="H261:H324" si="22">1-(1-G261)^(1/12)</f>
        <v>1.0596241035318976E-2</v>
      </c>
    </row>
    <row r="262" spans="2:8" x14ac:dyDescent="0.25">
      <c r="B262" s="3">
        <f t="shared" ref="B262:B325" si="23">1+B261</f>
        <v>259</v>
      </c>
      <c r="C262" s="9">
        <f t="shared" ref="C262:C325" si="24">C261</f>
        <v>0.06</v>
      </c>
      <c r="D262" s="142">
        <f t="shared" si="20"/>
        <v>5.1430128318229462E-3</v>
      </c>
      <c r="E262" s="9">
        <f t="shared" si="21"/>
        <v>0.06</v>
      </c>
      <c r="F262" s="142">
        <f t="shared" si="20"/>
        <v>5.1430128318229462E-3</v>
      </c>
      <c r="G262" s="9">
        <f t="shared" si="21"/>
        <v>0.12</v>
      </c>
      <c r="H262" s="142">
        <f t="shared" si="22"/>
        <v>1.0596241035318976E-2</v>
      </c>
    </row>
    <row r="263" spans="2:8" x14ac:dyDescent="0.25">
      <c r="B263" s="3">
        <f t="shared" si="23"/>
        <v>260</v>
      </c>
      <c r="C263" s="9">
        <f t="shared" si="24"/>
        <v>0.06</v>
      </c>
      <c r="D263" s="142">
        <f t="shared" si="20"/>
        <v>5.1430128318229462E-3</v>
      </c>
      <c r="E263" s="9">
        <f t="shared" si="21"/>
        <v>0.06</v>
      </c>
      <c r="F263" s="142">
        <f t="shared" si="20"/>
        <v>5.1430128318229462E-3</v>
      </c>
      <c r="G263" s="9">
        <f t="shared" si="21"/>
        <v>0.12</v>
      </c>
      <c r="H263" s="142">
        <f t="shared" si="22"/>
        <v>1.0596241035318976E-2</v>
      </c>
    </row>
    <row r="264" spans="2:8" x14ac:dyDescent="0.25">
      <c r="B264" s="3">
        <f t="shared" si="23"/>
        <v>261</v>
      </c>
      <c r="C264" s="9">
        <f t="shared" si="24"/>
        <v>0.06</v>
      </c>
      <c r="D264" s="142">
        <f t="shared" si="20"/>
        <v>5.1430128318229462E-3</v>
      </c>
      <c r="E264" s="9">
        <f t="shared" si="21"/>
        <v>0.06</v>
      </c>
      <c r="F264" s="142">
        <f t="shared" si="20"/>
        <v>5.1430128318229462E-3</v>
      </c>
      <c r="G264" s="9">
        <f t="shared" si="21"/>
        <v>0.12</v>
      </c>
      <c r="H264" s="142">
        <f t="shared" si="22"/>
        <v>1.0596241035318976E-2</v>
      </c>
    </row>
    <row r="265" spans="2:8" x14ac:dyDescent="0.25">
      <c r="B265" s="3">
        <f t="shared" si="23"/>
        <v>262</v>
      </c>
      <c r="C265" s="9">
        <f t="shared" si="24"/>
        <v>0.06</v>
      </c>
      <c r="D265" s="142">
        <f t="shared" si="20"/>
        <v>5.1430128318229462E-3</v>
      </c>
      <c r="E265" s="9">
        <f t="shared" si="21"/>
        <v>0.06</v>
      </c>
      <c r="F265" s="142">
        <f t="shared" si="20"/>
        <v>5.1430128318229462E-3</v>
      </c>
      <c r="G265" s="9">
        <f t="shared" si="21"/>
        <v>0.12</v>
      </c>
      <c r="H265" s="142">
        <f t="shared" si="22"/>
        <v>1.0596241035318976E-2</v>
      </c>
    </row>
    <row r="266" spans="2:8" x14ac:dyDescent="0.25">
      <c r="B266" s="3">
        <f t="shared" si="23"/>
        <v>263</v>
      </c>
      <c r="C266" s="9">
        <f t="shared" si="24"/>
        <v>0.06</v>
      </c>
      <c r="D266" s="142">
        <f t="shared" si="20"/>
        <v>5.1430128318229462E-3</v>
      </c>
      <c r="E266" s="9">
        <f t="shared" si="21"/>
        <v>0.06</v>
      </c>
      <c r="F266" s="142">
        <f t="shared" si="20"/>
        <v>5.1430128318229462E-3</v>
      </c>
      <c r="G266" s="9">
        <f t="shared" si="21"/>
        <v>0.12</v>
      </c>
      <c r="H266" s="142">
        <f t="shared" si="22"/>
        <v>1.0596241035318976E-2</v>
      </c>
    </row>
    <row r="267" spans="2:8" x14ac:dyDescent="0.25">
      <c r="B267" s="3">
        <f t="shared" si="23"/>
        <v>264</v>
      </c>
      <c r="C267" s="9">
        <f t="shared" si="24"/>
        <v>0.06</v>
      </c>
      <c r="D267" s="142">
        <f t="shared" si="20"/>
        <v>5.1430128318229462E-3</v>
      </c>
      <c r="E267" s="9">
        <f t="shared" si="21"/>
        <v>0.06</v>
      </c>
      <c r="F267" s="142">
        <f t="shared" si="20"/>
        <v>5.1430128318229462E-3</v>
      </c>
      <c r="G267" s="9">
        <f t="shared" si="21"/>
        <v>0.12</v>
      </c>
      <c r="H267" s="142">
        <f t="shared" si="22"/>
        <v>1.0596241035318976E-2</v>
      </c>
    </row>
    <row r="268" spans="2:8" x14ac:dyDescent="0.25">
      <c r="B268" s="3">
        <f t="shared" si="23"/>
        <v>265</v>
      </c>
      <c r="C268" s="9">
        <f t="shared" si="24"/>
        <v>0.06</v>
      </c>
      <c r="D268" s="142">
        <f t="shared" si="20"/>
        <v>5.1430128318229462E-3</v>
      </c>
      <c r="E268" s="9">
        <f t="shared" si="21"/>
        <v>0.06</v>
      </c>
      <c r="F268" s="142">
        <f t="shared" si="20"/>
        <v>5.1430128318229462E-3</v>
      </c>
      <c r="G268" s="9">
        <f t="shared" si="21"/>
        <v>0.12</v>
      </c>
      <c r="H268" s="142">
        <f t="shared" si="22"/>
        <v>1.0596241035318976E-2</v>
      </c>
    </row>
    <row r="269" spans="2:8" x14ac:dyDescent="0.25">
      <c r="B269" s="3">
        <f t="shared" si="23"/>
        <v>266</v>
      </c>
      <c r="C269" s="9">
        <f t="shared" si="24"/>
        <v>0.06</v>
      </c>
      <c r="D269" s="142">
        <f t="shared" si="20"/>
        <v>5.1430128318229462E-3</v>
      </c>
      <c r="E269" s="9">
        <f t="shared" si="21"/>
        <v>0.06</v>
      </c>
      <c r="F269" s="142">
        <f t="shared" si="20"/>
        <v>5.1430128318229462E-3</v>
      </c>
      <c r="G269" s="9">
        <f t="shared" si="21"/>
        <v>0.12</v>
      </c>
      <c r="H269" s="142">
        <f t="shared" si="22"/>
        <v>1.0596241035318976E-2</v>
      </c>
    </row>
    <row r="270" spans="2:8" x14ac:dyDescent="0.25">
      <c r="B270" s="3">
        <f t="shared" si="23"/>
        <v>267</v>
      </c>
      <c r="C270" s="9">
        <f t="shared" si="24"/>
        <v>0.06</v>
      </c>
      <c r="D270" s="142">
        <f t="shared" si="20"/>
        <v>5.1430128318229462E-3</v>
      </c>
      <c r="E270" s="9">
        <f t="shared" si="21"/>
        <v>0.06</v>
      </c>
      <c r="F270" s="142">
        <f t="shared" si="20"/>
        <v>5.1430128318229462E-3</v>
      </c>
      <c r="G270" s="9">
        <f t="shared" si="21"/>
        <v>0.12</v>
      </c>
      <c r="H270" s="142">
        <f t="shared" si="22"/>
        <v>1.0596241035318976E-2</v>
      </c>
    </row>
    <row r="271" spans="2:8" x14ac:dyDescent="0.25">
      <c r="B271" s="3">
        <f t="shared" si="23"/>
        <v>268</v>
      </c>
      <c r="C271" s="9">
        <f t="shared" si="24"/>
        <v>0.06</v>
      </c>
      <c r="D271" s="142">
        <f t="shared" si="20"/>
        <v>5.1430128318229462E-3</v>
      </c>
      <c r="E271" s="9">
        <f t="shared" si="21"/>
        <v>0.06</v>
      </c>
      <c r="F271" s="142">
        <f t="shared" si="20"/>
        <v>5.1430128318229462E-3</v>
      </c>
      <c r="G271" s="9">
        <f t="shared" si="21"/>
        <v>0.12</v>
      </c>
      <c r="H271" s="142">
        <f t="shared" si="22"/>
        <v>1.0596241035318976E-2</v>
      </c>
    </row>
    <row r="272" spans="2:8" x14ac:dyDescent="0.25">
      <c r="B272" s="3">
        <f t="shared" si="23"/>
        <v>269</v>
      </c>
      <c r="C272" s="9">
        <f t="shared" si="24"/>
        <v>0.06</v>
      </c>
      <c r="D272" s="142">
        <f t="shared" si="20"/>
        <v>5.1430128318229462E-3</v>
      </c>
      <c r="E272" s="9">
        <f t="shared" si="21"/>
        <v>0.06</v>
      </c>
      <c r="F272" s="142">
        <f t="shared" si="20"/>
        <v>5.1430128318229462E-3</v>
      </c>
      <c r="G272" s="9">
        <f t="shared" si="21"/>
        <v>0.12</v>
      </c>
      <c r="H272" s="142">
        <f t="shared" si="22"/>
        <v>1.0596241035318976E-2</v>
      </c>
    </row>
    <row r="273" spans="2:8" x14ac:dyDescent="0.25">
      <c r="B273" s="3">
        <f t="shared" si="23"/>
        <v>270</v>
      </c>
      <c r="C273" s="9">
        <f t="shared" si="24"/>
        <v>0.06</v>
      </c>
      <c r="D273" s="142">
        <f t="shared" si="20"/>
        <v>5.1430128318229462E-3</v>
      </c>
      <c r="E273" s="9">
        <f t="shared" si="21"/>
        <v>0.06</v>
      </c>
      <c r="F273" s="142">
        <f t="shared" si="20"/>
        <v>5.1430128318229462E-3</v>
      </c>
      <c r="G273" s="9">
        <f t="shared" si="21"/>
        <v>0.12</v>
      </c>
      <c r="H273" s="142">
        <f t="shared" si="22"/>
        <v>1.0596241035318976E-2</v>
      </c>
    </row>
    <row r="274" spans="2:8" x14ac:dyDescent="0.25">
      <c r="B274" s="3">
        <f t="shared" si="23"/>
        <v>271</v>
      </c>
      <c r="C274" s="9">
        <f t="shared" si="24"/>
        <v>0.06</v>
      </c>
      <c r="D274" s="142">
        <f t="shared" si="20"/>
        <v>5.1430128318229462E-3</v>
      </c>
      <c r="E274" s="9">
        <f t="shared" si="21"/>
        <v>0.06</v>
      </c>
      <c r="F274" s="142">
        <f t="shared" si="20"/>
        <v>5.1430128318229462E-3</v>
      </c>
      <c r="G274" s="9">
        <f t="shared" si="21"/>
        <v>0.12</v>
      </c>
      <c r="H274" s="142">
        <f t="shared" si="22"/>
        <v>1.0596241035318976E-2</v>
      </c>
    </row>
    <row r="275" spans="2:8" x14ac:dyDescent="0.25">
      <c r="B275" s="3">
        <f t="shared" si="23"/>
        <v>272</v>
      </c>
      <c r="C275" s="9">
        <f t="shared" si="24"/>
        <v>0.06</v>
      </c>
      <c r="D275" s="142">
        <f t="shared" si="20"/>
        <v>5.1430128318229462E-3</v>
      </c>
      <c r="E275" s="9">
        <f t="shared" si="21"/>
        <v>0.06</v>
      </c>
      <c r="F275" s="142">
        <f t="shared" si="20"/>
        <v>5.1430128318229462E-3</v>
      </c>
      <c r="G275" s="9">
        <f t="shared" si="21"/>
        <v>0.12</v>
      </c>
      <c r="H275" s="142">
        <f t="shared" si="22"/>
        <v>1.0596241035318976E-2</v>
      </c>
    </row>
    <row r="276" spans="2:8" x14ac:dyDescent="0.25">
      <c r="B276" s="3">
        <f t="shared" si="23"/>
        <v>273</v>
      </c>
      <c r="C276" s="9">
        <f t="shared" si="24"/>
        <v>0.06</v>
      </c>
      <c r="D276" s="142">
        <f t="shared" si="20"/>
        <v>5.1430128318229462E-3</v>
      </c>
      <c r="E276" s="9">
        <f t="shared" si="21"/>
        <v>0.06</v>
      </c>
      <c r="F276" s="142">
        <f t="shared" si="20"/>
        <v>5.1430128318229462E-3</v>
      </c>
      <c r="G276" s="9">
        <f t="shared" si="21"/>
        <v>0.12</v>
      </c>
      <c r="H276" s="142">
        <f t="shared" si="22"/>
        <v>1.0596241035318976E-2</v>
      </c>
    </row>
    <row r="277" spans="2:8" x14ac:dyDescent="0.25">
      <c r="B277" s="3">
        <f t="shared" si="23"/>
        <v>274</v>
      </c>
      <c r="C277" s="9">
        <f t="shared" si="24"/>
        <v>0.06</v>
      </c>
      <c r="D277" s="142">
        <f t="shared" si="20"/>
        <v>5.1430128318229462E-3</v>
      </c>
      <c r="E277" s="9">
        <f t="shared" si="21"/>
        <v>0.06</v>
      </c>
      <c r="F277" s="142">
        <f t="shared" si="20"/>
        <v>5.1430128318229462E-3</v>
      </c>
      <c r="G277" s="9">
        <f t="shared" si="21"/>
        <v>0.12</v>
      </c>
      <c r="H277" s="142">
        <f t="shared" si="22"/>
        <v>1.0596241035318976E-2</v>
      </c>
    </row>
    <row r="278" spans="2:8" x14ac:dyDescent="0.25">
      <c r="B278" s="3">
        <f t="shared" si="23"/>
        <v>275</v>
      </c>
      <c r="C278" s="9">
        <f t="shared" si="24"/>
        <v>0.06</v>
      </c>
      <c r="D278" s="142">
        <f t="shared" si="20"/>
        <v>5.1430128318229462E-3</v>
      </c>
      <c r="E278" s="9">
        <f t="shared" si="21"/>
        <v>0.06</v>
      </c>
      <c r="F278" s="142">
        <f t="shared" si="20"/>
        <v>5.1430128318229462E-3</v>
      </c>
      <c r="G278" s="9">
        <f t="shared" si="21"/>
        <v>0.12</v>
      </c>
      <c r="H278" s="142">
        <f t="shared" si="22"/>
        <v>1.0596241035318976E-2</v>
      </c>
    </row>
    <row r="279" spans="2:8" x14ac:dyDescent="0.25">
      <c r="B279" s="3">
        <f t="shared" si="23"/>
        <v>276</v>
      </c>
      <c r="C279" s="9">
        <f t="shared" si="24"/>
        <v>0.06</v>
      </c>
      <c r="D279" s="142">
        <f t="shared" si="20"/>
        <v>5.1430128318229462E-3</v>
      </c>
      <c r="E279" s="9">
        <f t="shared" si="21"/>
        <v>0.06</v>
      </c>
      <c r="F279" s="142">
        <f t="shared" si="20"/>
        <v>5.1430128318229462E-3</v>
      </c>
      <c r="G279" s="9">
        <f t="shared" si="21"/>
        <v>0.12</v>
      </c>
      <c r="H279" s="142">
        <f t="shared" si="22"/>
        <v>1.0596241035318976E-2</v>
      </c>
    </row>
    <row r="280" spans="2:8" x14ac:dyDescent="0.25">
      <c r="B280" s="3">
        <f t="shared" si="23"/>
        <v>277</v>
      </c>
      <c r="C280" s="9">
        <f t="shared" si="24"/>
        <v>0.06</v>
      </c>
      <c r="D280" s="142">
        <f t="shared" si="20"/>
        <v>5.1430128318229462E-3</v>
      </c>
      <c r="E280" s="9">
        <f t="shared" si="21"/>
        <v>0.06</v>
      </c>
      <c r="F280" s="142">
        <f t="shared" si="20"/>
        <v>5.1430128318229462E-3</v>
      </c>
      <c r="G280" s="9">
        <f t="shared" si="21"/>
        <v>0.12</v>
      </c>
      <c r="H280" s="142">
        <f t="shared" si="22"/>
        <v>1.0596241035318976E-2</v>
      </c>
    </row>
    <row r="281" spans="2:8" x14ac:dyDescent="0.25">
      <c r="B281" s="3">
        <f t="shared" si="23"/>
        <v>278</v>
      </c>
      <c r="C281" s="9">
        <f t="shared" si="24"/>
        <v>0.06</v>
      </c>
      <c r="D281" s="142">
        <f t="shared" si="20"/>
        <v>5.1430128318229462E-3</v>
      </c>
      <c r="E281" s="9">
        <f t="shared" si="21"/>
        <v>0.06</v>
      </c>
      <c r="F281" s="142">
        <f t="shared" si="20"/>
        <v>5.1430128318229462E-3</v>
      </c>
      <c r="G281" s="9">
        <f t="shared" si="21"/>
        <v>0.12</v>
      </c>
      <c r="H281" s="142">
        <f t="shared" si="22"/>
        <v>1.0596241035318976E-2</v>
      </c>
    </row>
    <row r="282" spans="2:8" x14ac:dyDescent="0.25">
      <c r="B282" s="3">
        <f t="shared" si="23"/>
        <v>279</v>
      </c>
      <c r="C282" s="9">
        <f t="shared" si="24"/>
        <v>0.06</v>
      </c>
      <c r="D282" s="142">
        <f t="shared" si="20"/>
        <v>5.1430128318229462E-3</v>
      </c>
      <c r="E282" s="9">
        <f t="shared" si="21"/>
        <v>0.06</v>
      </c>
      <c r="F282" s="142">
        <f t="shared" si="20"/>
        <v>5.1430128318229462E-3</v>
      </c>
      <c r="G282" s="9">
        <f t="shared" si="21"/>
        <v>0.12</v>
      </c>
      <c r="H282" s="142">
        <f t="shared" si="22"/>
        <v>1.0596241035318976E-2</v>
      </c>
    </row>
    <row r="283" spans="2:8" x14ac:dyDescent="0.25">
      <c r="B283" s="3">
        <f t="shared" si="23"/>
        <v>280</v>
      </c>
      <c r="C283" s="9">
        <f t="shared" si="24"/>
        <v>0.06</v>
      </c>
      <c r="D283" s="142">
        <f t="shared" si="20"/>
        <v>5.1430128318229462E-3</v>
      </c>
      <c r="E283" s="9">
        <f t="shared" si="21"/>
        <v>0.06</v>
      </c>
      <c r="F283" s="142">
        <f t="shared" si="20"/>
        <v>5.1430128318229462E-3</v>
      </c>
      <c r="G283" s="9">
        <f t="shared" si="21"/>
        <v>0.12</v>
      </c>
      <c r="H283" s="142">
        <f t="shared" si="22"/>
        <v>1.0596241035318976E-2</v>
      </c>
    </row>
    <row r="284" spans="2:8" x14ac:dyDescent="0.25">
      <c r="B284" s="3">
        <f t="shared" si="23"/>
        <v>281</v>
      </c>
      <c r="C284" s="9">
        <f t="shared" si="24"/>
        <v>0.06</v>
      </c>
      <c r="D284" s="142">
        <f t="shared" si="20"/>
        <v>5.1430128318229462E-3</v>
      </c>
      <c r="E284" s="9">
        <f t="shared" si="21"/>
        <v>0.06</v>
      </c>
      <c r="F284" s="142">
        <f t="shared" si="20"/>
        <v>5.1430128318229462E-3</v>
      </c>
      <c r="G284" s="9">
        <f t="shared" si="21"/>
        <v>0.12</v>
      </c>
      <c r="H284" s="142">
        <f t="shared" si="22"/>
        <v>1.0596241035318976E-2</v>
      </c>
    </row>
    <row r="285" spans="2:8" x14ac:dyDescent="0.25">
      <c r="B285" s="3">
        <f t="shared" si="23"/>
        <v>282</v>
      </c>
      <c r="C285" s="9">
        <f t="shared" si="24"/>
        <v>0.06</v>
      </c>
      <c r="D285" s="142">
        <f t="shared" si="20"/>
        <v>5.1430128318229462E-3</v>
      </c>
      <c r="E285" s="9">
        <f t="shared" si="21"/>
        <v>0.06</v>
      </c>
      <c r="F285" s="142">
        <f t="shared" si="20"/>
        <v>5.1430128318229462E-3</v>
      </c>
      <c r="G285" s="9">
        <f t="shared" si="21"/>
        <v>0.12</v>
      </c>
      <c r="H285" s="142">
        <f t="shared" si="22"/>
        <v>1.0596241035318976E-2</v>
      </c>
    </row>
    <row r="286" spans="2:8" x14ac:dyDescent="0.25">
      <c r="B286" s="3">
        <f t="shared" si="23"/>
        <v>283</v>
      </c>
      <c r="C286" s="9">
        <f t="shared" si="24"/>
        <v>0.06</v>
      </c>
      <c r="D286" s="142">
        <f t="shared" si="20"/>
        <v>5.1430128318229462E-3</v>
      </c>
      <c r="E286" s="9">
        <f t="shared" si="21"/>
        <v>0.06</v>
      </c>
      <c r="F286" s="142">
        <f t="shared" si="20"/>
        <v>5.1430128318229462E-3</v>
      </c>
      <c r="G286" s="9">
        <f t="shared" si="21"/>
        <v>0.12</v>
      </c>
      <c r="H286" s="142">
        <f t="shared" si="22"/>
        <v>1.0596241035318976E-2</v>
      </c>
    </row>
    <row r="287" spans="2:8" x14ac:dyDescent="0.25">
      <c r="B287" s="3">
        <f t="shared" si="23"/>
        <v>284</v>
      </c>
      <c r="C287" s="9">
        <f t="shared" si="24"/>
        <v>0.06</v>
      </c>
      <c r="D287" s="142">
        <f t="shared" si="20"/>
        <v>5.1430128318229462E-3</v>
      </c>
      <c r="E287" s="9">
        <f t="shared" si="21"/>
        <v>0.06</v>
      </c>
      <c r="F287" s="142">
        <f t="shared" si="20"/>
        <v>5.1430128318229462E-3</v>
      </c>
      <c r="G287" s="9">
        <f t="shared" si="21"/>
        <v>0.12</v>
      </c>
      <c r="H287" s="142">
        <f t="shared" si="22"/>
        <v>1.0596241035318976E-2</v>
      </c>
    </row>
    <row r="288" spans="2:8" x14ac:dyDescent="0.25">
      <c r="B288" s="3">
        <f t="shared" si="23"/>
        <v>285</v>
      </c>
      <c r="C288" s="9">
        <f t="shared" si="24"/>
        <v>0.06</v>
      </c>
      <c r="D288" s="142">
        <f t="shared" si="20"/>
        <v>5.1430128318229462E-3</v>
      </c>
      <c r="E288" s="9">
        <f t="shared" si="21"/>
        <v>0.06</v>
      </c>
      <c r="F288" s="142">
        <f t="shared" si="20"/>
        <v>5.1430128318229462E-3</v>
      </c>
      <c r="G288" s="9">
        <f t="shared" si="21"/>
        <v>0.12</v>
      </c>
      <c r="H288" s="142">
        <f t="shared" si="22"/>
        <v>1.0596241035318976E-2</v>
      </c>
    </row>
    <row r="289" spans="2:8" x14ac:dyDescent="0.25">
      <c r="B289" s="3">
        <f t="shared" si="23"/>
        <v>286</v>
      </c>
      <c r="C289" s="9">
        <f t="shared" si="24"/>
        <v>0.06</v>
      </c>
      <c r="D289" s="142">
        <f t="shared" si="20"/>
        <v>5.1430128318229462E-3</v>
      </c>
      <c r="E289" s="9">
        <f t="shared" si="21"/>
        <v>0.06</v>
      </c>
      <c r="F289" s="142">
        <f t="shared" si="20"/>
        <v>5.1430128318229462E-3</v>
      </c>
      <c r="G289" s="9">
        <f t="shared" si="21"/>
        <v>0.12</v>
      </c>
      <c r="H289" s="142">
        <f t="shared" si="22"/>
        <v>1.0596241035318976E-2</v>
      </c>
    </row>
    <row r="290" spans="2:8" x14ac:dyDescent="0.25">
      <c r="B290" s="3">
        <f t="shared" si="23"/>
        <v>287</v>
      </c>
      <c r="C290" s="9">
        <f t="shared" si="24"/>
        <v>0.06</v>
      </c>
      <c r="D290" s="142">
        <f t="shared" si="20"/>
        <v>5.1430128318229462E-3</v>
      </c>
      <c r="E290" s="9">
        <f t="shared" si="21"/>
        <v>0.06</v>
      </c>
      <c r="F290" s="142">
        <f t="shared" si="20"/>
        <v>5.1430128318229462E-3</v>
      </c>
      <c r="G290" s="9">
        <f t="shared" si="21"/>
        <v>0.12</v>
      </c>
      <c r="H290" s="142">
        <f t="shared" si="22"/>
        <v>1.0596241035318976E-2</v>
      </c>
    </row>
    <row r="291" spans="2:8" x14ac:dyDescent="0.25">
      <c r="B291" s="3">
        <f t="shared" si="23"/>
        <v>288</v>
      </c>
      <c r="C291" s="9">
        <f t="shared" si="24"/>
        <v>0.06</v>
      </c>
      <c r="D291" s="142">
        <f t="shared" si="20"/>
        <v>5.1430128318229462E-3</v>
      </c>
      <c r="E291" s="9">
        <f t="shared" si="21"/>
        <v>0.06</v>
      </c>
      <c r="F291" s="142">
        <f t="shared" si="20"/>
        <v>5.1430128318229462E-3</v>
      </c>
      <c r="G291" s="9">
        <f t="shared" si="21"/>
        <v>0.12</v>
      </c>
      <c r="H291" s="142">
        <f t="shared" si="22"/>
        <v>1.0596241035318976E-2</v>
      </c>
    </row>
    <row r="292" spans="2:8" x14ac:dyDescent="0.25">
      <c r="B292" s="3">
        <f t="shared" si="23"/>
        <v>289</v>
      </c>
      <c r="C292" s="9">
        <f t="shared" si="24"/>
        <v>0.06</v>
      </c>
      <c r="D292" s="142">
        <f t="shared" si="20"/>
        <v>5.1430128318229462E-3</v>
      </c>
      <c r="E292" s="9">
        <f t="shared" si="21"/>
        <v>0.06</v>
      </c>
      <c r="F292" s="142">
        <f t="shared" si="20"/>
        <v>5.1430128318229462E-3</v>
      </c>
      <c r="G292" s="9">
        <f t="shared" si="21"/>
        <v>0.12</v>
      </c>
      <c r="H292" s="142">
        <f t="shared" si="22"/>
        <v>1.0596241035318976E-2</v>
      </c>
    </row>
    <row r="293" spans="2:8" x14ac:dyDescent="0.25">
      <c r="B293" s="3">
        <f t="shared" si="23"/>
        <v>290</v>
      </c>
      <c r="C293" s="9">
        <f t="shared" si="24"/>
        <v>0.06</v>
      </c>
      <c r="D293" s="142">
        <f t="shared" si="20"/>
        <v>5.1430128318229462E-3</v>
      </c>
      <c r="E293" s="9">
        <f t="shared" si="21"/>
        <v>0.06</v>
      </c>
      <c r="F293" s="142">
        <f t="shared" si="20"/>
        <v>5.1430128318229462E-3</v>
      </c>
      <c r="G293" s="9">
        <f t="shared" si="21"/>
        <v>0.12</v>
      </c>
      <c r="H293" s="142">
        <f t="shared" si="22"/>
        <v>1.0596241035318976E-2</v>
      </c>
    </row>
    <row r="294" spans="2:8" x14ac:dyDescent="0.25">
      <c r="B294" s="3">
        <f t="shared" si="23"/>
        <v>291</v>
      </c>
      <c r="C294" s="9">
        <f t="shared" si="24"/>
        <v>0.06</v>
      </c>
      <c r="D294" s="142">
        <f t="shared" si="20"/>
        <v>5.1430128318229462E-3</v>
      </c>
      <c r="E294" s="9">
        <f t="shared" si="21"/>
        <v>0.06</v>
      </c>
      <c r="F294" s="142">
        <f t="shared" si="20"/>
        <v>5.1430128318229462E-3</v>
      </c>
      <c r="G294" s="9">
        <f t="shared" si="21"/>
        <v>0.12</v>
      </c>
      <c r="H294" s="142">
        <f t="shared" si="22"/>
        <v>1.0596241035318976E-2</v>
      </c>
    </row>
    <row r="295" spans="2:8" x14ac:dyDescent="0.25">
      <c r="B295" s="3">
        <f t="shared" si="23"/>
        <v>292</v>
      </c>
      <c r="C295" s="9">
        <f t="shared" si="24"/>
        <v>0.06</v>
      </c>
      <c r="D295" s="142">
        <f t="shared" si="20"/>
        <v>5.1430128318229462E-3</v>
      </c>
      <c r="E295" s="9">
        <f t="shared" si="21"/>
        <v>0.06</v>
      </c>
      <c r="F295" s="142">
        <f t="shared" si="20"/>
        <v>5.1430128318229462E-3</v>
      </c>
      <c r="G295" s="9">
        <f t="shared" si="21"/>
        <v>0.12</v>
      </c>
      <c r="H295" s="142">
        <f t="shared" si="22"/>
        <v>1.0596241035318976E-2</v>
      </c>
    </row>
    <row r="296" spans="2:8" x14ac:dyDescent="0.25">
      <c r="B296" s="3">
        <f t="shared" si="23"/>
        <v>293</v>
      </c>
      <c r="C296" s="9">
        <f t="shared" si="24"/>
        <v>0.06</v>
      </c>
      <c r="D296" s="142">
        <f t="shared" si="20"/>
        <v>5.1430128318229462E-3</v>
      </c>
      <c r="E296" s="9">
        <f t="shared" si="21"/>
        <v>0.06</v>
      </c>
      <c r="F296" s="142">
        <f t="shared" si="20"/>
        <v>5.1430128318229462E-3</v>
      </c>
      <c r="G296" s="9">
        <f t="shared" si="21"/>
        <v>0.12</v>
      </c>
      <c r="H296" s="142">
        <f t="shared" si="22"/>
        <v>1.0596241035318976E-2</v>
      </c>
    </row>
    <row r="297" spans="2:8" x14ac:dyDescent="0.25">
      <c r="B297" s="3">
        <f t="shared" si="23"/>
        <v>294</v>
      </c>
      <c r="C297" s="9">
        <f t="shared" si="24"/>
        <v>0.06</v>
      </c>
      <c r="D297" s="142">
        <f t="shared" si="20"/>
        <v>5.1430128318229462E-3</v>
      </c>
      <c r="E297" s="9">
        <f t="shared" si="21"/>
        <v>0.06</v>
      </c>
      <c r="F297" s="142">
        <f t="shared" si="20"/>
        <v>5.1430128318229462E-3</v>
      </c>
      <c r="G297" s="9">
        <f t="shared" si="21"/>
        <v>0.12</v>
      </c>
      <c r="H297" s="142">
        <f t="shared" si="22"/>
        <v>1.0596241035318976E-2</v>
      </c>
    </row>
    <row r="298" spans="2:8" x14ac:dyDescent="0.25">
      <c r="B298" s="3">
        <f t="shared" si="23"/>
        <v>295</v>
      </c>
      <c r="C298" s="9">
        <f t="shared" si="24"/>
        <v>0.06</v>
      </c>
      <c r="D298" s="142">
        <f t="shared" si="20"/>
        <v>5.1430128318229462E-3</v>
      </c>
      <c r="E298" s="9">
        <f t="shared" si="21"/>
        <v>0.06</v>
      </c>
      <c r="F298" s="142">
        <f t="shared" si="20"/>
        <v>5.1430128318229462E-3</v>
      </c>
      <c r="G298" s="9">
        <f t="shared" si="21"/>
        <v>0.12</v>
      </c>
      <c r="H298" s="142">
        <f t="shared" si="22"/>
        <v>1.0596241035318976E-2</v>
      </c>
    </row>
    <row r="299" spans="2:8" x14ac:dyDescent="0.25">
      <c r="B299" s="3">
        <f t="shared" si="23"/>
        <v>296</v>
      </c>
      <c r="C299" s="9">
        <f t="shared" si="24"/>
        <v>0.06</v>
      </c>
      <c r="D299" s="142">
        <f t="shared" si="20"/>
        <v>5.1430128318229462E-3</v>
      </c>
      <c r="E299" s="9">
        <f t="shared" si="21"/>
        <v>0.06</v>
      </c>
      <c r="F299" s="142">
        <f t="shared" si="20"/>
        <v>5.1430128318229462E-3</v>
      </c>
      <c r="G299" s="9">
        <f t="shared" si="21"/>
        <v>0.12</v>
      </c>
      <c r="H299" s="142">
        <f t="shared" si="22"/>
        <v>1.0596241035318976E-2</v>
      </c>
    </row>
    <row r="300" spans="2:8" x14ac:dyDescent="0.25">
      <c r="B300" s="3">
        <f t="shared" si="23"/>
        <v>297</v>
      </c>
      <c r="C300" s="9">
        <f t="shared" si="24"/>
        <v>0.06</v>
      </c>
      <c r="D300" s="142">
        <f t="shared" si="20"/>
        <v>5.1430128318229462E-3</v>
      </c>
      <c r="E300" s="9">
        <f t="shared" si="21"/>
        <v>0.06</v>
      </c>
      <c r="F300" s="142">
        <f t="shared" si="20"/>
        <v>5.1430128318229462E-3</v>
      </c>
      <c r="G300" s="9">
        <f t="shared" si="21"/>
        <v>0.12</v>
      </c>
      <c r="H300" s="142">
        <f t="shared" si="22"/>
        <v>1.0596241035318976E-2</v>
      </c>
    </row>
    <row r="301" spans="2:8" x14ac:dyDescent="0.25">
      <c r="B301" s="3">
        <f t="shared" si="23"/>
        <v>298</v>
      </c>
      <c r="C301" s="9">
        <f t="shared" si="24"/>
        <v>0.06</v>
      </c>
      <c r="D301" s="142">
        <f t="shared" si="20"/>
        <v>5.1430128318229462E-3</v>
      </c>
      <c r="E301" s="9">
        <f t="shared" si="21"/>
        <v>0.06</v>
      </c>
      <c r="F301" s="142">
        <f t="shared" si="20"/>
        <v>5.1430128318229462E-3</v>
      </c>
      <c r="G301" s="9">
        <f t="shared" si="21"/>
        <v>0.12</v>
      </c>
      <c r="H301" s="142">
        <f t="shared" si="22"/>
        <v>1.0596241035318976E-2</v>
      </c>
    </row>
    <row r="302" spans="2:8" x14ac:dyDescent="0.25">
      <c r="B302" s="3">
        <f t="shared" si="23"/>
        <v>299</v>
      </c>
      <c r="C302" s="9">
        <f t="shared" si="24"/>
        <v>0.06</v>
      </c>
      <c r="D302" s="142">
        <f t="shared" si="20"/>
        <v>5.1430128318229462E-3</v>
      </c>
      <c r="E302" s="9">
        <f t="shared" si="21"/>
        <v>0.06</v>
      </c>
      <c r="F302" s="142">
        <f t="shared" si="20"/>
        <v>5.1430128318229462E-3</v>
      </c>
      <c r="G302" s="9">
        <f t="shared" si="21"/>
        <v>0.12</v>
      </c>
      <c r="H302" s="142">
        <f t="shared" si="22"/>
        <v>1.0596241035318976E-2</v>
      </c>
    </row>
    <row r="303" spans="2:8" x14ac:dyDescent="0.25">
      <c r="B303" s="3">
        <f t="shared" si="23"/>
        <v>300</v>
      </c>
      <c r="C303" s="9">
        <f t="shared" si="24"/>
        <v>0.06</v>
      </c>
      <c r="D303" s="142">
        <f t="shared" si="20"/>
        <v>5.1430128318229462E-3</v>
      </c>
      <c r="E303" s="9">
        <f t="shared" si="21"/>
        <v>0.06</v>
      </c>
      <c r="F303" s="142">
        <f t="shared" si="20"/>
        <v>5.1430128318229462E-3</v>
      </c>
      <c r="G303" s="9">
        <f t="shared" si="21"/>
        <v>0.12</v>
      </c>
      <c r="H303" s="142">
        <f t="shared" si="22"/>
        <v>1.0596241035318976E-2</v>
      </c>
    </row>
    <row r="304" spans="2:8" x14ac:dyDescent="0.25">
      <c r="B304" s="3">
        <f t="shared" si="23"/>
        <v>301</v>
      </c>
      <c r="C304" s="9">
        <f t="shared" si="24"/>
        <v>0.06</v>
      </c>
      <c r="D304" s="142">
        <f t="shared" si="20"/>
        <v>5.1430128318229462E-3</v>
      </c>
      <c r="E304" s="9">
        <f t="shared" si="21"/>
        <v>0.06</v>
      </c>
      <c r="F304" s="142">
        <f t="shared" si="20"/>
        <v>5.1430128318229462E-3</v>
      </c>
      <c r="G304" s="9">
        <f t="shared" si="21"/>
        <v>0.12</v>
      </c>
      <c r="H304" s="142">
        <f t="shared" si="22"/>
        <v>1.0596241035318976E-2</v>
      </c>
    </row>
    <row r="305" spans="2:8" x14ac:dyDescent="0.25">
      <c r="B305" s="3">
        <f t="shared" si="23"/>
        <v>302</v>
      </c>
      <c r="C305" s="9">
        <f t="shared" si="24"/>
        <v>0.06</v>
      </c>
      <c r="D305" s="142">
        <f t="shared" si="20"/>
        <v>5.1430128318229462E-3</v>
      </c>
      <c r="E305" s="9">
        <f t="shared" si="21"/>
        <v>0.06</v>
      </c>
      <c r="F305" s="142">
        <f t="shared" si="20"/>
        <v>5.1430128318229462E-3</v>
      </c>
      <c r="G305" s="9">
        <f t="shared" si="21"/>
        <v>0.12</v>
      </c>
      <c r="H305" s="142">
        <f t="shared" si="22"/>
        <v>1.0596241035318976E-2</v>
      </c>
    </row>
    <row r="306" spans="2:8" x14ac:dyDescent="0.25">
      <c r="B306" s="3">
        <f t="shared" si="23"/>
        <v>303</v>
      </c>
      <c r="C306" s="9">
        <f t="shared" si="24"/>
        <v>0.06</v>
      </c>
      <c r="D306" s="142">
        <f t="shared" si="20"/>
        <v>5.1430128318229462E-3</v>
      </c>
      <c r="E306" s="9">
        <f t="shared" si="21"/>
        <v>0.06</v>
      </c>
      <c r="F306" s="142">
        <f t="shared" si="20"/>
        <v>5.1430128318229462E-3</v>
      </c>
      <c r="G306" s="9">
        <f t="shared" si="21"/>
        <v>0.12</v>
      </c>
      <c r="H306" s="142">
        <f t="shared" si="22"/>
        <v>1.0596241035318976E-2</v>
      </c>
    </row>
    <row r="307" spans="2:8" x14ac:dyDescent="0.25">
      <c r="B307" s="3">
        <f t="shared" si="23"/>
        <v>304</v>
      </c>
      <c r="C307" s="9">
        <f t="shared" si="24"/>
        <v>0.06</v>
      </c>
      <c r="D307" s="142">
        <f t="shared" si="20"/>
        <v>5.1430128318229462E-3</v>
      </c>
      <c r="E307" s="9">
        <f t="shared" si="21"/>
        <v>0.06</v>
      </c>
      <c r="F307" s="142">
        <f t="shared" si="20"/>
        <v>5.1430128318229462E-3</v>
      </c>
      <c r="G307" s="9">
        <f t="shared" si="21"/>
        <v>0.12</v>
      </c>
      <c r="H307" s="142">
        <f t="shared" si="22"/>
        <v>1.0596241035318976E-2</v>
      </c>
    </row>
    <row r="308" spans="2:8" x14ac:dyDescent="0.25">
      <c r="B308" s="3">
        <f t="shared" si="23"/>
        <v>305</v>
      </c>
      <c r="C308" s="9">
        <f t="shared" si="24"/>
        <v>0.06</v>
      </c>
      <c r="D308" s="142">
        <f t="shared" si="20"/>
        <v>5.1430128318229462E-3</v>
      </c>
      <c r="E308" s="9">
        <f t="shared" si="21"/>
        <v>0.06</v>
      </c>
      <c r="F308" s="142">
        <f t="shared" si="20"/>
        <v>5.1430128318229462E-3</v>
      </c>
      <c r="G308" s="9">
        <f t="shared" si="21"/>
        <v>0.12</v>
      </c>
      <c r="H308" s="142">
        <f t="shared" si="22"/>
        <v>1.0596241035318976E-2</v>
      </c>
    </row>
    <row r="309" spans="2:8" x14ac:dyDescent="0.25">
      <c r="B309" s="3">
        <f t="shared" si="23"/>
        <v>306</v>
      </c>
      <c r="C309" s="9">
        <f t="shared" si="24"/>
        <v>0.06</v>
      </c>
      <c r="D309" s="142">
        <f t="shared" si="20"/>
        <v>5.1430128318229462E-3</v>
      </c>
      <c r="E309" s="9">
        <f t="shared" si="21"/>
        <v>0.06</v>
      </c>
      <c r="F309" s="142">
        <f t="shared" si="20"/>
        <v>5.1430128318229462E-3</v>
      </c>
      <c r="G309" s="9">
        <f t="shared" si="21"/>
        <v>0.12</v>
      </c>
      <c r="H309" s="142">
        <f t="shared" si="22"/>
        <v>1.0596241035318976E-2</v>
      </c>
    </row>
    <row r="310" spans="2:8" x14ac:dyDescent="0.25">
      <c r="B310" s="3">
        <f t="shared" si="23"/>
        <v>307</v>
      </c>
      <c r="C310" s="9">
        <f t="shared" si="24"/>
        <v>0.06</v>
      </c>
      <c r="D310" s="142">
        <f t="shared" si="20"/>
        <v>5.1430128318229462E-3</v>
      </c>
      <c r="E310" s="9">
        <f t="shared" si="21"/>
        <v>0.06</v>
      </c>
      <c r="F310" s="142">
        <f t="shared" si="20"/>
        <v>5.1430128318229462E-3</v>
      </c>
      <c r="G310" s="9">
        <f t="shared" si="21"/>
        <v>0.12</v>
      </c>
      <c r="H310" s="142">
        <f t="shared" si="22"/>
        <v>1.0596241035318976E-2</v>
      </c>
    </row>
    <row r="311" spans="2:8" x14ac:dyDescent="0.25">
      <c r="B311" s="3">
        <f t="shared" si="23"/>
        <v>308</v>
      </c>
      <c r="C311" s="9">
        <f t="shared" si="24"/>
        <v>0.06</v>
      </c>
      <c r="D311" s="142">
        <f t="shared" si="20"/>
        <v>5.1430128318229462E-3</v>
      </c>
      <c r="E311" s="9">
        <f t="shared" si="21"/>
        <v>0.06</v>
      </c>
      <c r="F311" s="142">
        <f t="shared" si="20"/>
        <v>5.1430128318229462E-3</v>
      </c>
      <c r="G311" s="9">
        <f t="shared" si="21"/>
        <v>0.12</v>
      </c>
      <c r="H311" s="142">
        <f t="shared" si="22"/>
        <v>1.0596241035318976E-2</v>
      </c>
    </row>
    <row r="312" spans="2:8" x14ac:dyDescent="0.25">
      <c r="B312" s="3">
        <f t="shared" si="23"/>
        <v>309</v>
      </c>
      <c r="C312" s="9">
        <f t="shared" si="24"/>
        <v>0.06</v>
      </c>
      <c r="D312" s="142">
        <f t="shared" si="20"/>
        <v>5.1430128318229462E-3</v>
      </c>
      <c r="E312" s="9">
        <f t="shared" si="21"/>
        <v>0.06</v>
      </c>
      <c r="F312" s="142">
        <f t="shared" si="20"/>
        <v>5.1430128318229462E-3</v>
      </c>
      <c r="G312" s="9">
        <f t="shared" si="21"/>
        <v>0.12</v>
      </c>
      <c r="H312" s="142">
        <f t="shared" si="22"/>
        <v>1.0596241035318976E-2</v>
      </c>
    </row>
    <row r="313" spans="2:8" x14ac:dyDescent="0.25">
      <c r="B313" s="3">
        <f t="shared" si="23"/>
        <v>310</v>
      </c>
      <c r="C313" s="9">
        <f t="shared" si="24"/>
        <v>0.06</v>
      </c>
      <c r="D313" s="142">
        <f t="shared" si="20"/>
        <v>5.1430128318229462E-3</v>
      </c>
      <c r="E313" s="9">
        <f t="shared" si="21"/>
        <v>0.06</v>
      </c>
      <c r="F313" s="142">
        <f t="shared" si="20"/>
        <v>5.1430128318229462E-3</v>
      </c>
      <c r="G313" s="9">
        <f t="shared" si="21"/>
        <v>0.12</v>
      </c>
      <c r="H313" s="142">
        <f t="shared" si="22"/>
        <v>1.0596241035318976E-2</v>
      </c>
    </row>
    <row r="314" spans="2:8" x14ac:dyDescent="0.25">
      <c r="B314" s="3">
        <f t="shared" si="23"/>
        <v>311</v>
      </c>
      <c r="C314" s="9">
        <f t="shared" si="24"/>
        <v>0.06</v>
      </c>
      <c r="D314" s="142">
        <f t="shared" si="20"/>
        <v>5.1430128318229462E-3</v>
      </c>
      <c r="E314" s="9">
        <f t="shared" si="21"/>
        <v>0.06</v>
      </c>
      <c r="F314" s="142">
        <f t="shared" si="20"/>
        <v>5.1430128318229462E-3</v>
      </c>
      <c r="G314" s="9">
        <f t="shared" si="21"/>
        <v>0.12</v>
      </c>
      <c r="H314" s="142">
        <f t="shared" si="22"/>
        <v>1.0596241035318976E-2</v>
      </c>
    </row>
    <row r="315" spans="2:8" x14ac:dyDescent="0.25">
      <c r="B315" s="3">
        <f t="shared" si="23"/>
        <v>312</v>
      </c>
      <c r="C315" s="9">
        <f t="shared" si="24"/>
        <v>0.06</v>
      </c>
      <c r="D315" s="142">
        <f t="shared" si="20"/>
        <v>5.1430128318229462E-3</v>
      </c>
      <c r="E315" s="9">
        <f t="shared" si="21"/>
        <v>0.06</v>
      </c>
      <c r="F315" s="142">
        <f t="shared" si="20"/>
        <v>5.1430128318229462E-3</v>
      </c>
      <c r="G315" s="9">
        <f t="shared" si="21"/>
        <v>0.12</v>
      </c>
      <c r="H315" s="142">
        <f t="shared" si="22"/>
        <v>1.0596241035318976E-2</v>
      </c>
    </row>
    <row r="316" spans="2:8" x14ac:dyDescent="0.25">
      <c r="B316" s="3">
        <f t="shared" si="23"/>
        <v>313</v>
      </c>
      <c r="C316" s="9">
        <f t="shared" si="24"/>
        <v>0.06</v>
      </c>
      <c r="D316" s="142">
        <f t="shared" si="20"/>
        <v>5.1430128318229462E-3</v>
      </c>
      <c r="E316" s="9">
        <f t="shared" si="21"/>
        <v>0.06</v>
      </c>
      <c r="F316" s="142">
        <f t="shared" si="20"/>
        <v>5.1430128318229462E-3</v>
      </c>
      <c r="G316" s="9">
        <f t="shared" si="21"/>
        <v>0.12</v>
      </c>
      <c r="H316" s="142">
        <f t="shared" si="22"/>
        <v>1.0596241035318976E-2</v>
      </c>
    </row>
    <row r="317" spans="2:8" x14ac:dyDescent="0.25">
      <c r="B317" s="3">
        <f t="shared" si="23"/>
        <v>314</v>
      </c>
      <c r="C317" s="9">
        <f t="shared" si="24"/>
        <v>0.06</v>
      </c>
      <c r="D317" s="142">
        <f t="shared" si="20"/>
        <v>5.1430128318229462E-3</v>
      </c>
      <c r="E317" s="9">
        <f t="shared" si="21"/>
        <v>0.06</v>
      </c>
      <c r="F317" s="142">
        <f t="shared" si="20"/>
        <v>5.1430128318229462E-3</v>
      </c>
      <c r="G317" s="9">
        <f t="shared" si="21"/>
        <v>0.12</v>
      </c>
      <c r="H317" s="142">
        <f t="shared" si="22"/>
        <v>1.0596241035318976E-2</v>
      </c>
    </row>
    <row r="318" spans="2:8" x14ac:dyDescent="0.25">
      <c r="B318" s="3">
        <f t="shared" si="23"/>
        <v>315</v>
      </c>
      <c r="C318" s="9">
        <f t="shared" si="24"/>
        <v>0.06</v>
      </c>
      <c r="D318" s="142">
        <f t="shared" si="20"/>
        <v>5.1430128318229462E-3</v>
      </c>
      <c r="E318" s="9">
        <f t="shared" si="21"/>
        <v>0.06</v>
      </c>
      <c r="F318" s="142">
        <f t="shared" si="20"/>
        <v>5.1430128318229462E-3</v>
      </c>
      <c r="G318" s="9">
        <f t="shared" si="21"/>
        <v>0.12</v>
      </c>
      <c r="H318" s="142">
        <f t="shared" si="22"/>
        <v>1.0596241035318976E-2</v>
      </c>
    </row>
    <row r="319" spans="2:8" x14ac:dyDescent="0.25">
      <c r="B319" s="3">
        <f t="shared" si="23"/>
        <v>316</v>
      </c>
      <c r="C319" s="9">
        <f t="shared" si="24"/>
        <v>0.06</v>
      </c>
      <c r="D319" s="142">
        <f t="shared" si="20"/>
        <v>5.1430128318229462E-3</v>
      </c>
      <c r="E319" s="9">
        <f t="shared" si="21"/>
        <v>0.06</v>
      </c>
      <c r="F319" s="142">
        <f t="shared" si="20"/>
        <v>5.1430128318229462E-3</v>
      </c>
      <c r="G319" s="9">
        <f t="shared" si="21"/>
        <v>0.12</v>
      </c>
      <c r="H319" s="142">
        <f t="shared" si="22"/>
        <v>1.0596241035318976E-2</v>
      </c>
    </row>
    <row r="320" spans="2:8" x14ac:dyDescent="0.25">
      <c r="B320" s="3">
        <f t="shared" si="23"/>
        <v>317</v>
      </c>
      <c r="C320" s="9">
        <f t="shared" si="24"/>
        <v>0.06</v>
      </c>
      <c r="D320" s="142">
        <f t="shared" si="20"/>
        <v>5.1430128318229462E-3</v>
      </c>
      <c r="E320" s="9">
        <f t="shared" si="21"/>
        <v>0.06</v>
      </c>
      <c r="F320" s="142">
        <f t="shared" si="20"/>
        <v>5.1430128318229462E-3</v>
      </c>
      <c r="G320" s="9">
        <f t="shared" si="21"/>
        <v>0.12</v>
      </c>
      <c r="H320" s="142">
        <f t="shared" si="22"/>
        <v>1.0596241035318976E-2</v>
      </c>
    </row>
    <row r="321" spans="2:8" x14ac:dyDescent="0.25">
      <c r="B321" s="3">
        <f t="shared" si="23"/>
        <v>318</v>
      </c>
      <c r="C321" s="9">
        <f t="shared" si="24"/>
        <v>0.06</v>
      </c>
      <c r="D321" s="142">
        <f t="shared" si="20"/>
        <v>5.1430128318229462E-3</v>
      </c>
      <c r="E321" s="9">
        <f t="shared" si="21"/>
        <v>0.06</v>
      </c>
      <c r="F321" s="142">
        <f t="shared" si="20"/>
        <v>5.1430128318229462E-3</v>
      </c>
      <c r="G321" s="9">
        <f t="shared" si="21"/>
        <v>0.12</v>
      </c>
      <c r="H321" s="142">
        <f t="shared" si="22"/>
        <v>1.0596241035318976E-2</v>
      </c>
    </row>
    <row r="322" spans="2:8" x14ac:dyDescent="0.25">
      <c r="B322" s="3">
        <f t="shared" si="23"/>
        <v>319</v>
      </c>
      <c r="C322" s="9">
        <f t="shared" si="24"/>
        <v>0.06</v>
      </c>
      <c r="D322" s="142">
        <f t="shared" si="20"/>
        <v>5.1430128318229462E-3</v>
      </c>
      <c r="E322" s="9">
        <f t="shared" si="21"/>
        <v>0.06</v>
      </c>
      <c r="F322" s="142">
        <f t="shared" si="20"/>
        <v>5.1430128318229462E-3</v>
      </c>
      <c r="G322" s="9">
        <f t="shared" si="21"/>
        <v>0.12</v>
      </c>
      <c r="H322" s="142">
        <f t="shared" si="22"/>
        <v>1.0596241035318976E-2</v>
      </c>
    </row>
    <row r="323" spans="2:8" x14ac:dyDescent="0.25">
      <c r="B323" s="3">
        <f t="shared" si="23"/>
        <v>320</v>
      </c>
      <c r="C323" s="9">
        <f t="shared" si="24"/>
        <v>0.06</v>
      </c>
      <c r="D323" s="142">
        <f t="shared" si="20"/>
        <v>5.1430128318229462E-3</v>
      </c>
      <c r="E323" s="9">
        <f t="shared" si="21"/>
        <v>0.06</v>
      </c>
      <c r="F323" s="142">
        <f t="shared" si="20"/>
        <v>5.1430128318229462E-3</v>
      </c>
      <c r="G323" s="9">
        <f t="shared" si="21"/>
        <v>0.12</v>
      </c>
      <c r="H323" s="142">
        <f t="shared" si="22"/>
        <v>1.0596241035318976E-2</v>
      </c>
    </row>
    <row r="324" spans="2:8" x14ac:dyDescent="0.25">
      <c r="B324" s="3">
        <f t="shared" si="23"/>
        <v>321</v>
      </c>
      <c r="C324" s="9">
        <f t="shared" si="24"/>
        <v>0.06</v>
      </c>
      <c r="D324" s="142">
        <f t="shared" si="20"/>
        <v>5.1430128318229462E-3</v>
      </c>
      <c r="E324" s="9">
        <f t="shared" si="21"/>
        <v>0.06</v>
      </c>
      <c r="F324" s="142">
        <f t="shared" si="20"/>
        <v>5.1430128318229462E-3</v>
      </c>
      <c r="G324" s="9">
        <f t="shared" si="21"/>
        <v>0.12</v>
      </c>
      <c r="H324" s="142">
        <f t="shared" si="22"/>
        <v>1.0596241035318976E-2</v>
      </c>
    </row>
    <row r="325" spans="2:8" x14ac:dyDescent="0.25">
      <c r="B325" s="3">
        <f t="shared" si="23"/>
        <v>322</v>
      </c>
      <c r="C325" s="9">
        <f t="shared" si="24"/>
        <v>0.06</v>
      </c>
      <c r="D325" s="142">
        <f t="shared" ref="D325:F363" si="25">1-(1-C325)^(1/12)</f>
        <v>5.1430128318229462E-3</v>
      </c>
      <c r="E325" s="9">
        <f t="shared" ref="E325:G363" si="26">MIN((E$2/100)*0.06,(E$2/100)*0.06*$B325/30)</f>
        <v>0.06</v>
      </c>
      <c r="F325" s="142">
        <f t="shared" si="25"/>
        <v>5.1430128318229462E-3</v>
      </c>
      <c r="G325" s="9">
        <f t="shared" si="26"/>
        <v>0.12</v>
      </c>
      <c r="H325" s="142">
        <f t="shared" ref="H325:H363" si="27">1-(1-G325)^(1/12)</f>
        <v>1.0596241035318976E-2</v>
      </c>
    </row>
    <row r="326" spans="2:8" x14ac:dyDescent="0.25">
      <c r="B326" s="3">
        <f t="shared" ref="B326:B363" si="28">1+B325</f>
        <v>323</v>
      </c>
      <c r="C326" s="9">
        <f t="shared" ref="C326:C363" si="29">C325</f>
        <v>0.06</v>
      </c>
      <c r="D326" s="142">
        <f t="shared" si="25"/>
        <v>5.1430128318229462E-3</v>
      </c>
      <c r="E326" s="9">
        <f t="shared" si="26"/>
        <v>0.06</v>
      </c>
      <c r="F326" s="142">
        <f t="shared" si="25"/>
        <v>5.1430128318229462E-3</v>
      </c>
      <c r="G326" s="9">
        <f t="shared" si="26"/>
        <v>0.12</v>
      </c>
      <c r="H326" s="142">
        <f t="shared" si="27"/>
        <v>1.0596241035318976E-2</v>
      </c>
    </row>
    <row r="327" spans="2:8" x14ac:dyDescent="0.25">
      <c r="B327" s="3">
        <f t="shared" si="28"/>
        <v>324</v>
      </c>
      <c r="C327" s="9">
        <f t="shared" si="29"/>
        <v>0.06</v>
      </c>
      <c r="D327" s="142">
        <f t="shared" si="25"/>
        <v>5.1430128318229462E-3</v>
      </c>
      <c r="E327" s="9">
        <f t="shared" si="26"/>
        <v>0.06</v>
      </c>
      <c r="F327" s="142">
        <f t="shared" si="25"/>
        <v>5.1430128318229462E-3</v>
      </c>
      <c r="G327" s="9">
        <f t="shared" si="26"/>
        <v>0.12</v>
      </c>
      <c r="H327" s="142">
        <f t="shared" si="27"/>
        <v>1.0596241035318976E-2</v>
      </c>
    </row>
    <row r="328" spans="2:8" x14ac:dyDescent="0.25">
      <c r="B328" s="3">
        <f t="shared" si="28"/>
        <v>325</v>
      </c>
      <c r="C328" s="9">
        <f t="shared" si="29"/>
        <v>0.06</v>
      </c>
      <c r="D328" s="142">
        <f t="shared" si="25"/>
        <v>5.1430128318229462E-3</v>
      </c>
      <c r="E328" s="9">
        <f t="shared" si="26"/>
        <v>0.06</v>
      </c>
      <c r="F328" s="142">
        <f t="shared" si="25"/>
        <v>5.1430128318229462E-3</v>
      </c>
      <c r="G328" s="9">
        <f t="shared" si="26"/>
        <v>0.12</v>
      </c>
      <c r="H328" s="142">
        <f t="shared" si="27"/>
        <v>1.0596241035318976E-2</v>
      </c>
    </row>
    <row r="329" spans="2:8" x14ac:dyDescent="0.25">
      <c r="B329" s="3">
        <f t="shared" si="28"/>
        <v>326</v>
      </c>
      <c r="C329" s="9">
        <f t="shared" si="29"/>
        <v>0.06</v>
      </c>
      <c r="D329" s="142">
        <f t="shared" si="25"/>
        <v>5.1430128318229462E-3</v>
      </c>
      <c r="E329" s="9">
        <f t="shared" si="26"/>
        <v>0.06</v>
      </c>
      <c r="F329" s="142">
        <f t="shared" si="25"/>
        <v>5.1430128318229462E-3</v>
      </c>
      <c r="G329" s="9">
        <f t="shared" si="26"/>
        <v>0.12</v>
      </c>
      <c r="H329" s="142">
        <f t="shared" si="27"/>
        <v>1.0596241035318976E-2</v>
      </c>
    </row>
    <row r="330" spans="2:8" x14ac:dyDescent="0.25">
      <c r="B330" s="3">
        <f t="shared" si="28"/>
        <v>327</v>
      </c>
      <c r="C330" s="9">
        <f t="shared" si="29"/>
        <v>0.06</v>
      </c>
      <c r="D330" s="142">
        <f t="shared" si="25"/>
        <v>5.1430128318229462E-3</v>
      </c>
      <c r="E330" s="9">
        <f t="shared" si="26"/>
        <v>0.06</v>
      </c>
      <c r="F330" s="142">
        <f t="shared" si="25"/>
        <v>5.1430128318229462E-3</v>
      </c>
      <c r="G330" s="9">
        <f t="shared" si="26"/>
        <v>0.12</v>
      </c>
      <c r="H330" s="142">
        <f t="shared" si="27"/>
        <v>1.0596241035318976E-2</v>
      </c>
    </row>
    <row r="331" spans="2:8" x14ac:dyDescent="0.25">
      <c r="B331" s="3">
        <f t="shared" si="28"/>
        <v>328</v>
      </c>
      <c r="C331" s="9">
        <f t="shared" si="29"/>
        <v>0.06</v>
      </c>
      <c r="D331" s="142">
        <f t="shared" si="25"/>
        <v>5.1430128318229462E-3</v>
      </c>
      <c r="E331" s="9">
        <f t="shared" si="26"/>
        <v>0.06</v>
      </c>
      <c r="F331" s="142">
        <f t="shared" si="25"/>
        <v>5.1430128318229462E-3</v>
      </c>
      <c r="G331" s="9">
        <f t="shared" si="26"/>
        <v>0.12</v>
      </c>
      <c r="H331" s="142">
        <f t="shared" si="27"/>
        <v>1.0596241035318976E-2</v>
      </c>
    </row>
    <row r="332" spans="2:8" x14ac:dyDescent="0.25">
      <c r="B332" s="3">
        <f t="shared" si="28"/>
        <v>329</v>
      </c>
      <c r="C332" s="9">
        <f t="shared" si="29"/>
        <v>0.06</v>
      </c>
      <c r="D332" s="142">
        <f t="shared" si="25"/>
        <v>5.1430128318229462E-3</v>
      </c>
      <c r="E332" s="9">
        <f t="shared" si="26"/>
        <v>0.06</v>
      </c>
      <c r="F332" s="142">
        <f t="shared" si="25"/>
        <v>5.1430128318229462E-3</v>
      </c>
      <c r="G332" s="9">
        <f t="shared" si="26"/>
        <v>0.12</v>
      </c>
      <c r="H332" s="142">
        <f t="shared" si="27"/>
        <v>1.0596241035318976E-2</v>
      </c>
    </row>
    <row r="333" spans="2:8" x14ac:dyDescent="0.25">
      <c r="B333" s="3">
        <f t="shared" si="28"/>
        <v>330</v>
      </c>
      <c r="C333" s="9">
        <f t="shared" si="29"/>
        <v>0.06</v>
      </c>
      <c r="D333" s="142">
        <f t="shared" si="25"/>
        <v>5.1430128318229462E-3</v>
      </c>
      <c r="E333" s="9">
        <f t="shared" si="26"/>
        <v>0.06</v>
      </c>
      <c r="F333" s="142">
        <f t="shared" si="25"/>
        <v>5.1430128318229462E-3</v>
      </c>
      <c r="G333" s="9">
        <f t="shared" si="26"/>
        <v>0.12</v>
      </c>
      <c r="H333" s="142">
        <f t="shared" si="27"/>
        <v>1.0596241035318976E-2</v>
      </c>
    </row>
    <row r="334" spans="2:8" x14ac:dyDescent="0.25">
      <c r="B334" s="3">
        <f t="shared" si="28"/>
        <v>331</v>
      </c>
      <c r="C334" s="9">
        <f t="shared" si="29"/>
        <v>0.06</v>
      </c>
      <c r="D334" s="142">
        <f t="shared" si="25"/>
        <v>5.1430128318229462E-3</v>
      </c>
      <c r="E334" s="9">
        <f t="shared" si="26"/>
        <v>0.06</v>
      </c>
      <c r="F334" s="142">
        <f t="shared" si="25"/>
        <v>5.1430128318229462E-3</v>
      </c>
      <c r="G334" s="9">
        <f t="shared" si="26"/>
        <v>0.12</v>
      </c>
      <c r="H334" s="142">
        <f t="shared" si="27"/>
        <v>1.0596241035318976E-2</v>
      </c>
    </row>
    <row r="335" spans="2:8" x14ac:dyDescent="0.25">
      <c r="B335" s="3">
        <f t="shared" si="28"/>
        <v>332</v>
      </c>
      <c r="C335" s="9">
        <f t="shared" si="29"/>
        <v>0.06</v>
      </c>
      <c r="D335" s="142">
        <f t="shared" si="25"/>
        <v>5.1430128318229462E-3</v>
      </c>
      <c r="E335" s="9">
        <f t="shared" si="26"/>
        <v>0.06</v>
      </c>
      <c r="F335" s="142">
        <f t="shared" si="25"/>
        <v>5.1430128318229462E-3</v>
      </c>
      <c r="G335" s="9">
        <f t="shared" si="26"/>
        <v>0.12</v>
      </c>
      <c r="H335" s="142">
        <f t="shared" si="27"/>
        <v>1.0596241035318976E-2</v>
      </c>
    </row>
    <row r="336" spans="2:8" x14ac:dyDescent="0.25">
      <c r="B336" s="3">
        <f t="shared" si="28"/>
        <v>333</v>
      </c>
      <c r="C336" s="9">
        <f t="shared" si="29"/>
        <v>0.06</v>
      </c>
      <c r="D336" s="142">
        <f t="shared" si="25"/>
        <v>5.1430128318229462E-3</v>
      </c>
      <c r="E336" s="9">
        <f t="shared" si="26"/>
        <v>0.06</v>
      </c>
      <c r="F336" s="142">
        <f t="shared" si="25"/>
        <v>5.1430128318229462E-3</v>
      </c>
      <c r="G336" s="9">
        <f t="shared" si="26"/>
        <v>0.12</v>
      </c>
      <c r="H336" s="142">
        <f t="shared" si="27"/>
        <v>1.0596241035318976E-2</v>
      </c>
    </row>
    <row r="337" spans="2:8" x14ac:dyDescent="0.25">
      <c r="B337" s="3">
        <f t="shared" si="28"/>
        <v>334</v>
      </c>
      <c r="C337" s="9">
        <f t="shared" si="29"/>
        <v>0.06</v>
      </c>
      <c r="D337" s="142">
        <f t="shared" si="25"/>
        <v>5.1430128318229462E-3</v>
      </c>
      <c r="E337" s="9">
        <f t="shared" si="26"/>
        <v>0.06</v>
      </c>
      <c r="F337" s="142">
        <f t="shared" si="25"/>
        <v>5.1430128318229462E-3</v>
      </c>
      <c r="G337" s="9">
        <f t="shared" si="26"/>
        <v>0.12</v>
      </c>
      <c r="H337" s="142">
        <f t="shared" si="27"/>
        <v>1.0596241035318976E-2</v>
      </c>
    </row>
    <row r="338" spans="2:8" x14ac:dyDescent="0.25">
      <c r="B338" s="3">
        <f t="shared" si="28"/>
        <v>335</v>
      </c>
      <c r="C338" s="9">
        <f t="shared" si="29"/>
        <v>0.06</v>
      </c>
      <c r="D338" s="142">
        <f t="shared" si="25"/>
        <v>5.1430128318229462E-3</v>
      </c>
      <c r="E338" s="9">
        <f t="shared" si="26"/>
        <v>0.06</v>
      </c>
      <c r="F338" s="142">
        <f t="shared" si="25"/>
        <v>5.1430128318229462E-3</v>
      </c>
      <c r="G338" s="9">
        <f t="shared" si="26"/>
        <v>0.12</v>
      </c>
      <c r="H338" s="142">
        <f t="shared" si="27"/>
        <v>1.0596241035318976E-2</v>
      </c>
    </row>
    <row r="339" spans="2:8" x14ac:dyDescent="0.25">
      <c r="B339" s="3">
        <f t="shared" si="28"/>
        <v>336</v>
      </c>
      <c r="C339" s="9">
        <f t="shared" si="29"/>
        <v>0.06</v>
      </c>
      <c r="D339" s="142">
        <f t="shared" si="25"/>
        <v>5.1430128318229462E-3</v>
      </c>
      <c r="E339" s="9">
        <f t="shared" si="26"/>
        <v>0.06</v>
      </c>
      <c r="F339" s="142">
        <f t="shared" si="25"/>
        <v>5.1430128318229462E-3</v>
      </c>
      <c r="G339" s="9">
        <f t="shared" si="26"/>
        <v>0.12</v>
      </c>
      <c r="H339" s="142">
        <f t="shared" si="27"/>
        <v>1.0596241035318976E-2</v>
      </c>
    </row>
    <row r="340" spans="2:8" x14ac:dyDescent="0.25">
      <c r="B340" s="3">
        <f t="shared" si="28"/>
        <v>337</v>
      </c>
      <c r="C340" s="9">
        <f t="shared" si="29"/>
        <v>0.06</v>
      </c>
      <c r="D340" s="142">
        <f t="shared" si="25"/>
        <v>5.1430128318229462E-3</v>
      </c>
      <c r="E340" s="9">
        <f t="shared" si="26"/>
        <v>0.06</v>
      </c>
      <c r="F340" s="142">
        <f t="shared" si="25"/>
        <v>5.1430128318229462E-3</v>
      </c>
      <c r="G340" s="9">
        <f t="shared" si="26"/>
        <v>0.12</v>
      </c>
      <c r="H340" s="142">
        <f t="shared" si="27"/>
        <v>1.0596241035318976E-2</v>
      </c>
    </row>
    <row r="341" spans="2:8" x14ac:dyDescent="0.25">
      <c r="B341" s="3">
        <f t="shared" si="28"/>
        <v>338</v>
      </c>
      <c r="C341" s="9">
        <f t="shared" si="29"/>
        <v>0.06</v>
      </c>
      <c r="D341" s="142">
        <f t="shared" si="25"/>
        <v>5.1430128318229462E-3</v>
      </c>
      <c r="E341" s="9">
        <f t="shared" si="26"/>
        <v>0.06</v>
      </c>
      <c r="F341" s="142">
        <f t="shared" si="25"/>
        <v>5.1430128318229462E-3</v>
      </c>
      <c r="G341" s="9">
        <f t="shared" si="26"/>
        <v>0.12</v>
      </c>
      <c r="H341" s="142">
        <f t="shared" si="27"/>
        <v>1.0596241035318976E-2</v>
      </c>
    </row>
    <row r="342" spans="2:8" x14ac:dyDescent="0.25">
      <c r="B342" s="3">
        <f t="shared" si="28"/>
        <v>339</v>
      </c>
      <c r="C342" s="9">
        <f t="shared" si="29"/>
        <v>0.06</v>
      </c>
      <c r="D342" s="142">
        <f t="shared" si="25"/>
        <v>5.1430128318229462E-3</v>
      </c>
      <c r="E342" s="9">
        <f t="shared" si="26"/>
        <v>0.06</v>
      </c>
      <c r="F342" s="142">
        <f t="shared" si="25"/>
        <v>5.1430128318229462E-3</v>
      </c>
      <c r="G342" s="9">
        <f t="shared" si="26"/>
        <v>0.12</v>
      </c>
      <c r="H342" s="142">
        <f t="shared" si="27"/>
        <v>1.0596241035318976E-2</v>
      </c>
    </row>
    <row r="343" spans="2:8" x14ac:dyDescent="0.25">
      <c r="B343" s="3">
        <f t="shared" si="28"/>
        <v>340</v>
      </c>
      <c r="C343" s="9">
        <f t="shared" si="29"/>
        <v>0.06</v>
      </c>
      <c r="D343" s="142">
        <f t="shared" si="25"/>
        <v>5.1430128318229462E-3</v>
      </c>
      <c r="E343" s="9">
        <f t="shared" si="26"/>
        <v>0.06</v>
      </c>
      <c r="F343" s="142">
        <f t="shared" si="25"/>
        <v>5.1430128318229462E-3</v>
      </c>
      <c r="G343" s="9">
        <f t="shared" si="26"/>
        <v>0.12</v>
      </c>
      <c r="H343" s="142">
        <f t="shared" si="27"/>
        <v>1.0596241035318976E-2</v>
      </c>
    </row>
    <row r="344" spans="2:8" x14ac:dyDescent="0.25">
      <c r="B344" s="3">
        <f t="shared" si="28"/>
        <v>341</v>
      </c>
      <c r="C344" s="9">
        <f t="shared" si="29"/>
        <v>0.06</v>
      </c>
      <c r="D344" s="142">
        <f t="shared" si="25"/>
        <v>5.1430128318229462E-3</v>
      </c>
      <c r="E344" s="9">
        <f t="shared" si="26"/>
        <v>0.06</v>
      </c>
      <c r="F344" s="142">
        <f t="shared" si="25"/>
        <v>5.1430128318229462E-3</v>
      </c>
      <c r="G344" s="9">
        <f t="shared" si="26"/>
        <v>0.12</v>
      </c>
      <c r="H344" s="142">
        <f t="shared" si="27"/>
        <v>1.0596241035318976E-2</v>
      </c>
    </row>
    <row r="345" spans="2:8" x14ac:dyDescent="0.25">
      <c r="B345" s="3">
        <f t="shared" si="28"/>
        <v>342</v>
      </c>
      <c r="C345" s="9">
        <f t="shared" si="29"/>
        <v>0.06</v>
      </c>
      <c r="D345" s="142">
        <f t="shared" si="25"/>
        <v>5.1430128318229462E-3</v>
      </c>
      <c r="E345" s="9">
        <f t="shared" si="26"/>
        <v>0.06</v>
      </c>
      <c r="F345" s="142">
        <f t="shared" si="25"/>
        <v>5.1430128318229462E-3</v>
      </c>
      <c r="G345" s="9">
        <f t="shared" si="26"/>
        <v>0.12</v>
      </c>
      <c r="H345" s="142">
        <f t="shared" si="27"/>
        <v>1.0596241035318976E-2</v>
      </c>
    </row>
    <row r="346" spans="2:8" x14ac:dyDescent="0.25">
      <c r="B346" s="3">
        <f t="shared" si="28"/>
        <v>343</v>
      </c>
      <c r="C346" s="9">
        <f t="shared" si="29"/>
        <v>0.06</v>
      </c>
      <c r="D346" s="142">
        <f t="shared" si="25"/>
        <v>5.1430128318229462E-3</v>
      </c>
      <c r="E346" s="9">
        <f t="shared" si="26"/>
        <v>0.06</v>
      </c>
      <c r="F346" s="142">
        <f t="shared" si="25"/>
        <v>5.1430128318229462E-3</v>
      </c>
      <c r="G346" s="9">
        <f t="shared" si="26"/>
        <v>0.12</v>
      </c>
      <c r="H346" s="142">
        <f t="shared" si="27"/>
        <v>1.0596241035318976E-2</v>
      </c>
    </row>
    <row r="347" spans="2:8" x14ac:dyDescent="0.25">
      <c r="B347" s="3">
        <f t="shared" si="28"/>
        <v>344</v>
      </c>
      <c r="C347" s="9">
        <f t="shared" si="29"/>
        <v>0.06</v>
      </c>
      <c r="D347" s="142">
        <f t="shared" si="25"/>
        <v>5.1430128318229462E-3</v>
      </c>
      <c r="E347" s="9">
        <f t="shared" si="26"/>
        <v>0.06</v>
      </c>
      <c r="F347" s="142">
        <f t="shared" si="25"/>
        <v>5.1430128318229462E-3</v>
      </c>
      <c r="G347" s="9">
        <f t="shared" si="26"/>
        <v>0.12</v>
      </c>
      <c r="H347" s="142">
        <f t="shared" si="27"/>
        <v>1.0596241035318976E-2</v>
      </c>
    </row>
    <row r="348" spans="2:8" x14ac:dyDescent="0.25">
      <c r="B348" s="3">
        <f t="shared" si="28"/>
        <v>345</v>
      </c>
      <c r="C348" s="9">
        <f t="shared" si="29"/>
        <v>0.06</v>
      </c>
      <c r="D348" s="142">
        <f t="shared" si="25"/>
        <v>5.1430128318229462E-3</v>
      </c>
      <c r="E348" s="9">
        <f t="shared" si="26"/>
        <v>0.06</v>
      </c>
      <c r="F348" s="142">
        <f t="shared" si="25"/>
        <v>5.1430128318229462E-3</v>
      </c>
      <c r="G348" s="9">
        <f t="shared" si="26"/>
        <v>0.12</v>
      </c>
      <c r="H348" s="142">
        <f t="shared" si="27"/>
        <v>1.0596241035318976E-2</v>
      </c>
    </row>
    <row r="349" spans="2:8" x14ac:dyDescent="0.25">
      <c r="B349" s="3">
        <f t="shared" si="28"/>
        <v>346</v>
      </c>
      <c r="C349" s="9">
        <f t="shared" si="29"/>
        <v>0.06</v>
      </c>
      <c r="D349" s="142">
        <f t="shared" si="25"/>
        <v>5.1430128318229462E-3</v>
      </c>
      <c r="E349" s="9">
        <f t="shared" si="26"/>
        <v>0.06</v>
      </c>
      <c r="F349" s="142">
        <f t="shared" si="25"/>
        <v>5.1430128318229462E-3</v>
      </c>
      <c r="G349" s="9">
        <f t="shared" si="26"/>
        <v>0.12</v>
      </c>
      <c r="H349" s="142">
        <f t="shared" si="27"/>
        <v>1.0596241035318976E-2</v>
      </c>
    </row>
    <row r="350" spans="2:8" x14ac:dyDescent="0.25">
      <c r="B350" s="3">
        <f t="shared" si="28"/>
        <v>347</v>
      </c>
      <c r="C350" s="9">
        <f t="shared" si="29"/>
        <v>0.06</v>
      </c>
      <c r="D350" s="142">
        <f t="shared" si="25"/>
        <v>5.1430128318229462E-3</v>
      </c>
      <c r="E350" s="9">
        <f t="shared" si="26"/>
        <v>0.06</v>
      </c>
      <c r="F350" s="142">
        <f t="shared" si="25"/>
        <v>5.1430128318229462E-3</v>
      </c>
      <c r="G350" s="9">
        <f t="shared" si="26"/>
        <v>0.12</v>
      </c>
      <c r="H350" s="142">
        <f t="shared" si="27"/>
        <v>1.0596241035318976E-2</v>
      </c>
    </row>
    <row r="351" spans="2:8" x14ac:dyDescent="0.25">
      <c r="B351" s="3">
        <f t="shared" si="28"/>
        <v>348</v>
      </c>
      <c r="C351" s="9">
        <f t="shared" si="29"/>
        <v>0.06</v>
      </c>
      <c r="D351" s="142">
        <f t="shared" si="25"/>
        <v>5.1430128318229462E-3</v>
      </c>
      <c r="E351" s="9">
        <f t="shared" si="26"/>
        <v>0.06</v>
      </c>
      <c r="F351" s="142">
        <f t="shared" si="25"/>
        <v>5.1430128318229462E-3</v>
      </c>
      <c r="G351" s="9">
        <f t="shared" si="26"/>
        <v>0.12</v>
      </c>
      <c r="H351" s="142">
        <f t="shared" si="27"/>
        <v>1.0596241035318976E-2</v>
      </c>
    </row>
    <row r="352" spans="2:8" x14ac:dyDescent="0.25">
      <c r="B352" s="3">
        <f t="shared" si="28"/>
        <v>349</v>
      </c>
      <c r="C352" s="9">
        <f t="shared" si="29"/>
        <v>0.06</v>
      </c>
      <c r="D352" s="142">
        <f t="shared" si="25"/>
        <v>5.1430128318229462E-3</v>
      </c>
      <c r="E352" s="9">
        <f t="shared" si="26"/>
        <v>0.06</v>
      </c>
      <c r="F352" s="142">
        <f t="shared" si="25"/>
        <v>5.1430128318229462E-3</v>
      </c>
      <c r="G352" s="9">
        <f t="shared" si="26"/>
        <v>0.12</v>
      </c>
      <c r="H352" s="142">
        <f t="shared" si="27"/>
        <v>1.0596241035318976E-2</v>
      </c>
    </row>
    <row r="353" spans="2:8" x14ac:dyDescent="0.25">
      <c r="B353" s="3">
        <f t="shared" si="28"/>
        <v>350</v>
      </c>
      <c r="C353" s="9">
        <f t="shared" si="29"/>
        <v>0.06</v>
      </c>
      <c r="D353" s="142">
        <f t="shared" si="25"/>
        <v>5.1430128318229462E-3</v>
      </c>
      <c r="E353" s="9">
        <f t="shared" si="26"/>
        <v>0.06</v>
      </c>
      <c r="F353" s="142">
        <f t="shared" si="25"/>
        <v>5.1430128318229462E-3</v>
      </c>
      <c r="G353" s="9">
        <f t="shared" si="26"/>
        <v>0.12</v>
      </c>
      <c r="H353" s="142">
        <f t="shared" si="27"/>
        <v>1.0596241035318976E-2</v>
      </c>
    </row>
    <row r="354" spans="2:8" x14ac:dyDescent="0.25">
      <c r="B354" s="3">
        <f t="shared" si="28"/>
        <v>351</v>
      </c>
      <c r="C354" s="9">
        <f t="shared" si="29"/>
        <v>0.06</v>
      </c>
      <c r="D354" s="142">
        <f t="shared" si="25"/>
        <v>5.1430128318229462E-3</v>
      </c>
      <c r="E354" s="9">
        <f t="shared" si="26"/>
        <v>0.06</v>
      </c>
      <c r="F354" s="142">
        <f t="shared" si="25"/>
        <v>5.1430128318229462E-3</v>
      </c>
      <c r="G354" s="9">
        <f t="shared" si="26"/>
        <v>0.12</v>
      </c>
      <c r="H354" s="142">
        <f t="shared" si="27"/>
        <v>1.0596241035318976E-2</v>
      </c>
    </row>
    <row r="355" spans="2:8" x14ac:dyDescent="0.25">
      <c r="B355" s="3">
        <f t="shared" si="28"/>
        <v>352</v>
      </c>
      <c r="C355" s="9">
        <f t="shared" si="29"/>
        <v>0.06</v>
      </c>
      <c r="D355" s="142">
        <f t="shared" si="25"/>
        <v>5.1430128318229462E-3</v>
      </c>
      <c r="E355" s="9">
        <f t="shared" si="26"/>
        <v>0.06</v>
      </c>
      <c r="F355" s="142">
        <f t="shared" si="25"/>
        <v>5.1430128318229462E-3</v>
      </c>
      <c r="G355" s="9">
        <f t="shared" si="26"/>
        <v>0.12</v>
      </c>
      <c r="H355" s="142">
        <f t="shared" si="27"/>
        <v>1.0596241035318976E-2</v>
      </c>
    </row>
    <row r="356" spans="2:8" x14ac:dyDescent="0.25">
      <c r="B356" s="3">
        <f t="shared" si="28"/>
        <v>353</v>
      </c>
      <c r="C356" s="9">
        <f t="shared" si="29"/>
        <v>0.06</v>
      </c>
      <c r="D356" s="142">
        <f t="shared" si="25"/>
        <v>5.1430128318229462E-3</v>
      </c>
      <c r="E356" s="9">
        <f t="shared" si="26"/>
        <v>0.06</v>
      </c>
      <c r="F356" s="142">
        <f t="shared" si="25"/>
        <v>5.1430128318229462E-3</v>
      </c>
      <c r="G356" s="9">
        <f t="shared" si="26"/>
        <v>0.12</v>
      </c>
      <c r="H356" s="142">
        <f t="shared" si="27"/>
        <v>1.0596241035318976E-2</v>
      </c>
    </row>
    <row r="357" spans="2:8" x14ac:dyDescent="0.25">
      <c r="B357" s="3">
        <f t="shared" si="28"/>
        <v>354</v>
      </c>
      <c r="C357" s="9">
        <f t="shared" si="29"/>
        <v>0.06</v>
      </c>
      <c r="D357" s="142">
        <f t="shared" si="25"/>
        <v>5.1430128318229462E-3</v>
      </c>
      <c r="E357" s="9">
        <f t="shared" si="26"/>
        <v>0.06</v>
      </c>
      <c r="F357" s="142">
        <f t="shared" si="25"/>
        <v>5.1430128318229462E-3</v>
      </c>
      <c r="G357" s="9">
        <f t="shared" si="26"/>
        <v>0.12</v>
      </c>
      <c r="H357" s="142">
        <f t="shared" si="27"/>
        <v>1.0596241035318976E-2</v>
      </c>
    </row>
    <row r="358" spans="2:8" x14ac:dyDescent="0.25">
      <c r="B358" s="3">
        <f t="shared" si="28"/>
        <v>355</v>
      </c>
      <c r="C358" s="9">
        <f t="shared" si="29"/>
        <v>0.06</v>
      </c>
      <c r="D358" s="142">
        <f t="shared" si="25"/>
        <v>5.1430128318229462E-3</v>
      </c>
      <c r="E358" s="9">
        <f t="shared" si="26"/>
        <v>0.06</v>
      </c>
      <c r="F358" s="142">
        <f t="shared" si="25"/>
        <v>5.1430128318229462E-3</v>
      </c>
      <c r="G358" s="9">
        <f t="shared" si="26"/>
        <v>0.12</v>
      </c>
      <c r="H358" s="142">
        <f t="shared" si="27"/>
        <v>1.0596241035318976E-2</v>
      </c>
    </row>
    <row r="359" spans="2:8" x14ac:dyDescent="0.25">
      <c r="B359" s="3">
        <f t="shared" si="28"/>
        <v>356</v>
      </c>
      <c r="C359" s="9">
        <f t="shared" si="29"/>
        <v>0.06</v>
      </c>
      <c r="D359" s="142">
        <f t="shared" si="25"/>
        <v>5.1430128318229462E-3</v>
      </c>
      <c r="E359" s="9">
        <f t="shared" si="26"/>
        <v>0.06</v>
      </c>
      <c r="F359" s="142">
        <f t="shared" si="25"/>
        <v>5.1430128318229462E-3</v>
      </c>
      <c r="G359" s="9">
        <f t="shared" si="26"/>
        <v>0.12</v>
      </c>
      <c r="H359" s="142">
        <f t="shared" si="27"/>
        <v>1.0596241035318976E-2</v>
      </c>
    </row>
    <row r="360" spans="2:8" x14ac:dyDescent="0.25">
      <c r="B360" s="3">
        <f t="shared" si="28"/>
        <v>357</v>
      </c>
      <c r="C360" s="9">
        <f t="shared" si="29"/>
        <v>0.06</v>
      </c>
      <c r="D360" s="142">
        <f t="shared" si="25"/>
        <v>5.1430128318229462E-3</v>
      </c>
      <c r="E360" s="9">
        <f t="shared" si="26"/>
        <v>0.06</v>
      </c>
      <c r="F360" s="142">
        <f t="shared" si="25"/>
        <v>5.1430128318229462E-3</v>
      </c>
      <c r="G360" s="9">
        <f t="shared" si="26"/>
        <v>0.12</v>
      </c>
      <c r="H360" s="142">
        <f t="shared" si="27"/>
        <v>1.0596241035318976E-2</v>
      </c>
    </row>
    <row r="361" spans="2:8" x14ac:dyDescent="0.25">
      <c r="B361" s="3">
        <f t="shared" si="28"/>
        <v>358</v>
      </c>
      <c r="C361" s="9">
        <f t="shared" si="29"/>
        <v>0.06</v>
      </c>
      <c r="D361" s="142">
        <f t="shared" si="25"/>
        <v>5.1430128318229462E-3</v>
      </c>
      <c r="E361" s="9">
        <f t="shared" si="26"/>
        <v>0.06</v>
      </c>
      <c r="F361" s="142">
        <f t="shared" si="25"/>
        <v>5.1430128318229462E-3</v>
      </c>
      <c r="G361" s="9">
        <f t="shared" si="26"/>
        <v>0.12</v>
      </c>
      <c r="H361" s="142">
        <f t="shared" si="27"/>
        <v>1.0596241035318976E-2</v>
      </c>
    </row>
    <row r="362" spans="2:8" x14ac:dyDescent="0.25">
      <c r="B362" s="3">
        <f t="shared" si="28"/>
        <v>359</v>
      </c>
      <c r="C362" s="9">
        <f t="shared" si="29"/>
        <v>0.06</v>
      </c>
      <c r="D362" s="142">
        <f t="shared" si="25"/>
        <v>5.1430128318229462E-3</v>
      </c>
      <c r="E362" s="9">
        <f t="shared" si="26"/>
        <v>0.06</v>
      </c>
      <c r="F362" s="142">
        <f t="shared" si="25"/>
        <v>5.1430128318229462E-3</v>
      </c>
      <c r="G362" s="9">
        <f t="shared" si="26"/>
        <v>0.12</v>
      </c>
      <c r="H362" s="142">
        <f t="shared" si="27"/>
        <v>1.0596241035318976E-2</v>
      </c>
    </row>
    <row r="363" spans="2:8" x14ac:dyDescent="0.25">
      <c r="B363" s="3">
        <f t="shared" si="28"/>
        <v>360</v>
      </c>
      <c r="C363" s="9">
        <f t="shared" si="29"/>
        <v>0.06</v>
      </c>
      <c r="D363" s="142">
        <f t="shared" si="25"/>
        <v>5.1430128318229462E-3</v>
      </c>
      <c r="E363" s="9">
        <f t="shared" si="26"/>
        <v>0.06</v>
      </c>
      <c r="F363" s="142">
        <f t="shared" si="25"/>
        <v>5.1430128318229462E-3</v>
      </c>
      <c r="G363" s="9">
        <f t="shared" si="26"/>
        <v>0.12</v>
      </c>
      <c r="H363" s="142">
        <f t="shared" si="27"/>
        <v>1.0596241035318976E-2</v>
      </c>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D74E8-25A7-459A-865B-D513DEA783FC}">
  <dimension ref="A1:G25"/>
  <sheetViews>
    <sheetView workbookViewId="0">
      <selection activeCell="C10" sqref="C10"/>
    </sheetView>
  </sheetViews>
  <sheetFormatPr defaultRowHeight="14.4" x14ac:dyDescent="0.3"/>
  <cols>
    <col min="1" max="1" width="15.44140625" customWidth="1"/>
    <col min="2" max="2" width="20" customWidth="1"/>
    <col min="3" max="3" width="14.88671875" customWidth="1"/>
  </cols>
  <sheetData>
    <row r="1" spans="1:7" x14ac:dyDescent="0.3">
      <c r="A1" s="146" t="s">
        <v>204</v>
      </c>
      <c r="B1" s="150">
        <v>100</v>
      </c>
    </row>
    <row r="2" spans="1:7" x14ac:dyDescent="0.3">
      <c r="A2" s="146" t="s">
        <v>205</v>
      </c>
      <c r="B2" s="150">
        <v>80</v>
      </c>
    </row>
    <row r="3" spans="1:7" x14ac:dyDescent="0.3">
      <c r="A3" s="146" t="s">
        <v>206</v>
      </c>
      <c r="B3" s="151">
        <v>0.06</v>
      </c>
      <c r="F3" t="s">
        <v>193</v>
      </c>
    </row>
    <row r="4" spans="1:7" x14ac:dyDescent="0.3">
      <c r="A4" s="146" t="s">
        <v>207</v>
      </c>
      <c r="B4" s="151">
        <v>0.01</v>
      </c>
      <c r="C4" s="146"/>
      <c r="D4" s="151"/>
      <c r="F4" s="146" t="s">
        <v>194</v>
      </c>
      <c r="G4" t="s">
        <v>195</v>
      </c>
    </row>
    <row r="5" spans="1:7" x14ac:dyDescent="0.3">
      <c r="A5" s="146" t="s">
        <v>208</v>
      </c>
      <c r="B5" s="151">
        <v>0.01</v>
      </c>
      <c r="C5" s="146"/>
      <c r="D5" s="151"/>
      <c r="F5" s="146" t="s">
        <v>196</v>
      </c>
      <c r="G5" t="s">
        <v>197</v>
      </c>
    </row>
    <row r="6" spans="1:7" x14ac:dyDescent="0.3">
      <c r="A6" s="146" t="s">
        <v>209</v>
      </c>
      <c r="B6" s="152" t="s">
        <v>210</v>
      </c>
      <c r="C6" s="146"/>
      <c r="D6" s="151"/>
      <c r="F6" s="146" t="s">
        <v>198</v>
      </c>
      <c r="G6" t="s">
        <v>199</v>
      </c>
    </row>
    <row r="7" spans="1:7" x14ac:dyDescent="0.3">
      <c r="A7" s="146"/>
      <c r="B7" s="153"/>
      <c r="C7" s="146"/>
      <c r="D7" s="151"/>
      <c r="F7" s="146" t="s">
        <v>200</v>
      </c>
      <c r="G7" t="s">
        <v>201</v>
      </c>
    </row>
    <row r="8" spans="1:7" x14ac:dyDescent="0.3">
      <c r="A8" s="146" t="s">
        <v>211</v>
      </c>
      <c r="B8" s="153">
        <f>B1-B2</f>
        <v>20</v>
      </c>
      <c r="C8" t="str">
        <f ca="1">_xlfn.FORMULATEXT(B8)</f>
        <v>=B1-B2</v>
      </c>
      <c r="F8" s="147" t="s">
        <v>202</v>
      </c>
    </row>
    <row r="9" spans="1:7" x14ac:dyDescent="0.3">
      <c r="A9" s="146" t="s">
        <v>212</v>
      </c>
      <c r="B9">
        <f>B2/B8</f>
        <v>4</v>
      </c>
      <c r="C9" t="str">
        <f t="shared" ref="C9:C12" ca="1" si="0">_xlfn.FORMULATEXT(B9)</f>
        <v>=B2/B8</v>
      </c>
      <c r="F9" s="148"/>
    </row>
    <row r="10" spans="1:7" x14ac:dyDescent="0.3">
      <c r="A10" s="146" t="s">
        <v>213</v>
      </c>
      <c r="B10" s="151">
        <f>(B1/B8)*(B3-B2/B1*B4)</f>
        <v>0.26</v>
      </c>
      <c r="C10" t="str">
        <f t="shared" ca="1" si="0"/>
        <v>=(B1/B8)*(B3-B2/B1*B4)</v>
      </c>
      <c r="F10" s="149" t="s">
        <v>203</v>
      </c>
    </row>
    <row r="11" spans="1:7" x14ac:dyDescent="0.3">
      <c r="A11" s="146" t="s">
        <v>214</v>
      </c>
      <c r="B11" s="154">
        <f>(B10-B5)/B9</f>
        <v>6.25E-2</v>
      </c>
      <c r="C11" t="str">
        <f t="shared" ca="1" si="0"/>
        <v>=(B10-B5)/B9</v>
      </c>
    </row>
    <row r="12" spans="1:7" x14ac:dyDescent="0.3">
      <c r="A12" s="146" t="s">
        <v>215</v>
      </c>
      <c r="B12" s="155">
        <f>B11+B4</f>
        <v>7.2499999999999995E-2</v>
      </c>
      <c r="C12" t="str">
        <f t="shared" ca="1" si="0"/>
        <v>=B11+B4</v>
      </c>
    </row>
    <row r="14" spans="1:7" ht="43.2" x14ac:dyDescent="0.3">
      <c r="A14" s="156" t="s">
        <v>210</v>
      </c>
      <c r="B14" s="156" t="s">
        <v>216</v>
      </c>
      <c r="C14" s="156" t="s">
        <v>217</v>
      </c>
      <c r="D14" s="156" t="s">
        <v>218</v>
      </c>
      <c r="E14" s="156" t="s">
        <v>219</v>
      </c>
      <c r="F14" s="156" t="s">
        <v>220</v>
      </c>
    </row>
    <row r="15" spans="1:7" x14ac:dyDescent="0.3">
      <c r="A15" s="157">
        <v>0</v>
      </c>
      <c r="B15" s="155">
        <f t="shared" ref="B15:B25" si="1">MIN($B$12,A15+$B$4)</f>
        <v>0.01</v>
      </c>
      <c r="C15" s="155">
        <f t="shared" ref="C15:C25" si="2">MAX($B$5,$B$10-$B$9*A15)</f>
        <v>0.26</v>
      </c>
      <c r="D15" s="158">
        <f>B15*$B$2</f>
        <v>0.8</v>
      </c>
      <c r="E15" s="158">
        <f>C15*$B$8</f>
        <v>5.2</v>
      </c>
      <c r="F15" s="158">
        <f>D15+E15</f>
        <v>6</v>
      </c>
    </row>
    <row r="16" spans="1:7" x14ac:dyDescent="0.3">
      <c r="A16" s="157">
        <f>A15+0.01</f>
        <v>0.01</v>
      </c>
      <c r="B16" s="155">
        <f t="shared" si="1"/>
        <v>0.02</v>
      </c>
      <c r="C16" s="155">
        <f t="shared" si="2"/>
        <v>0.22</v>
      </c>
      <c r="D16" s="158">
        <f t="shared" ref="D16:D25" si="3">B16*$B$2</f>
        <v>1.6</v>
      </c>
      <c r="E16" s="158">
        <f t="shared" ref="E16:E25" si="4">C16*$B$8</f>
        <v>4.4000000000000004</v>
      </c>
      <c r="F16" s="158">
        <f t="shared" ref="F16:F25" si="5">D16+E16</f>
        <v>6</v>
      </c>
    </row>
    <row r="17" spans="1:6" x14ac:dyDescent="0.3">
      <c r="A17" s="157">
        <f t="shared" ref="A17:A21" si="6">A16+0.01</f>
        <v>0.02</v>
      </c>
      <c r="B17" s="155">
        <f t="shared" si="1"/>
        <v>0.03</v>
      </c>
      <c r="C17" s="155">
        <f t="shared" si="2"/>
        <v>0.18</v>
      </c>
      <c r="D17" s="158">
        <f t="shared" si="3"/>
        <v>2.4</v>
      </c>
      <c r="E17" s="158">
        <f t="shared" si="4"/>
        <v>3.5999999999999996</v>
      </c>
      <c r="F17" s="158">
        <f t="shared" si="5"/>
        <v>6</v>
      </c>
    </row>
    <row r="18" spans="1:6" x14ac:dyDescent="0.3">
      <c r="A18" s="157">
        <f t="shared" si="6"/>
        <v>0.03</v>
      </c>
      <c r="B18" s="155">
        <f t="shared" si="1"/>
        <v>0.04</v>
      </c>
      <c r="C18" s="155">
        <f t="shared" si="2"/>
        <v>0.14000000000000001</v>
      </c>
      <c r="D18" s="158">
        <f t="shared" si="3"/>
        <v>3.2</v>
      </c>
      <c r="E18" s="158">
        <f t="shared" si="4"/>
        <v>2.8000000000000003</v>
      </c>
      <c r="F18" s="158">
        <f t="shared" si="5"/>
        <v>6</v>
      </c>
    </row>
    <row r="19" spans="1:6" x14ac:dyDescent="0.3">
      <c r="A19" s="157">
        <f t="shared" si="6"/>
        <v>0.04</v>
      </c>
      <c r="B19" s="155">
        <f t="shared" si="1"/>
        <v>0.05</v>
      </c>
      <c r="C19" s="155">
        <f t="shared" si="2"/>
        <v>0.1</v>
      </c>
      <c r="D19" s="158">
        <f t="shared" si="3"/>
        <v>4</v>
      </c>
      <c r="E19" s="158">
        <f t="shared" si="4"/>
        <v>2</v>
      </c>
      <c r="F19" s="158">
        <f t="shared" si="5"/>
        <v>6</v>
      </c>
    </row>
    <row r="20" spans="1:6" x14ac:dyDescent="0.3">
      <c r="A20" s="157">
        <f t="shared" si="6"/>
        <v>0.05</v>
      </c>
      <c r="B20" s="155">
        <f t="shared" si="1"/>
        <v>6.0000000000000005E-2</v>
      </c>
      <c r="C20" s="155">
        <f t="shared" si="2"/>
        <v>0.06</v>
      </c>
      <c r="D20" s="158">
        <f t="shared" si="3"/>
        <v>4.8000000000000007</v>
      </c>
      <c r="E20" s="158">
        <f t="shared" si="4"/>
        <v>1.2</v>
      </c>
      <c r="F20" s="158">
        <f t="shared" si="5"/>
        <v>6.0000000000000009</v>
      </c>
    </row>
    <row r="21" spans="1:6" x14ac:dyDescent="0.3">
      <c r="A21" s="157">
        <f t="shared" si="6"/>
        <v>6.0000000000000005E-2</v>
      </c>
      <c r="B21" s="155">
        <f t="shared" si="1"/>
        <v>7.0000000000000007E-2</v>
      </c>
      <c r="C21" s="155">
        <f t="shared" si="2"/>
        <v>1.999999999999999E-2</v>
      </c>
      <c r="D21" s="158">
        <f t="shared" si="3"/>
        <v>5.6000000000000005</v>
      </c>
      <c r="E21" s="158">
        <f t="shared" si="4"/>
        <v>0.3999999999999998</v>
      </c>
      <c r="F21" s="158">
        <f t="shared" si="5"/>
        <v>6</v>
      </c>
    </row>
    <row r="22" spans="1:6" x14ac:dyDescent="0.3">
      <c r="A22" s="157">
        <v>6.25E-2</v>
      </c>
      <c r="B22" s="155">
        <f t="shared" si="1"/>
        <v>7.2499999999999995E-2</v>
      </c>
      <c r="C22" s="155">
        <f t="shared" si="2"/>
        <v>1.0000000000000009E-2</v>
      </c>
      <c r="D22" s="158">
        <f t="shared" si="3"/>
        <v>5.8</v>
      </c>
      <c r="E22" s="158">
        <f t="shared" si="4"/>
        <v>0.20000000000000018</v>
      </c>
      <c r="F22" s="158">
        <f t="shared" si="5"/>
        <v>6</v>
      </c>
    </row>
    <row r="23" spans="1:6" x14ac:dyDescent="0.3">
      <c r="A23" s="159">
        <v>6.5000000000000002E-2</v>
      </c>
      <c r="B23" s="160">
        <f t="shared" si="1"/>
        <v>7.2499999999999995E-2</v>
      </c>
      <c r="C23" s="160">
        <f t="shared" si="2"/>
        <v>0.01</v>
      </c>
      <c r="D23" s="161">
        <f t="shared" si="3"/>
        <v>5.8</v>
      </c>
      <c r="E23" s="161">
        <f t="shared" si="4"/>
        <v>0.2</v>
      </c>
      <c r="F23" s="161">
        <f t="shared" si="5"/>
        <v>6</v>
      </c>
    </row>
    <row r="24" spans="1:6" x14ac:dyDescent="0.3">
      <c r="A24" s="159">
        <v>6.7500000000000004E-2</v>
      </c>
      <c r="B24" s="160">
        <f t="shared" si="1"/>
        <v>7.2499999999999995E-2</v>
      </c>
      <c r="C24" s="160">
        <f t="shared" si="2"/>
        <v>0.01</v>
      </c>
      <c r="D24" s="161">
        <f t="shared" si="3"/>
        <v>5.8</v>
      </c>
      <c r="E24" s="161">
        <f t="shared" si="4"/>
        <v>0.2</v>
      </c>
      <c r="F24" s="161">
        <f t="shared" si="5"/>
        <v>6</v>
      </c>
    </row>
    <row r="25" spans="1:6" x14ac:dyDescent="0.3">
      <c r="A25" s="159">
        <v>7.0000000000000007E-2</v>
      </c>
      <c r="B25" s="160">
        <f t="shared" si="1"/>
        <v>7.2499999999999995E-2</v>
      </c>
      <c r="C25" s="160">
        <f t="shared" si="2"/>
        <v>0.01</v>
      </c>
      <c r="D25" s="161">
        <f t="shared" si="3"/>
        <v>5.8</v>
      </c>
      <c r="E25" s="161">
        <f t="shared" si="4"/>
        <v>0.2</v>
      </c>
      <c r="F25" s="161">
        <f t="shared" si="5"/>
        <v>6</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436AE-3ACB-477F-809D-967F48551A78}">
  <dimension ref="A1:F81"/>
  <sheetViews>
    <sheetView tabSelected="1" workbookViewId="0">
      <selection activeCell="F4" sqref="F4"/>
    </sheetView>
  </sheetViews>
  <sheetFormatPr defaultRowHeight="14.4" x14ac:dyDescent="0.3"/>
  <cols>
    <col min="1" max="1" width="18.21875" customWidth="1"/>
    <col min="2" max="2" width="11" customWidth="1"/>
    <col min="3" max="3" width="12.6640625" customWidth="1"/>
    <col min="4" max="4" width="10" customWidth="1"/>
    <col min="5" max="5" width="14" customWidth="1"/>
    <col min="6" max="6" width="16.44140625" bestFit="1" customWidth="1"/>
    <col min="7" max="7" width="9.6640625" customWidth="1"/>
    <col min="8" max="8" width="7.6640625" customWidth="1"/>
  </cols>
  <sheetData>
    <row r="1" spans="1:6" x14ac:dyDescent="0.3">
      <c r="A1" s="117" t="s">
        <v>262</v>
      </c>
    </row>
    <row r="2" spans="1:6" x14ac:dyDescent="0.3">
      <c r="A2" s="202" t="s">
        <v>85</v>
      </c>
      <c r="B2" s="202" t="s">
        <v>263</v>
      </c>
      <c r="C2" s="202" t="s">
        <v>264</v>
      </c>
      <c r="D2" s="202" t="s">
        <v>265</v>
      </c>
      <c r="E2" s="202" t="s">
        <v>266</v>
      </c>
      <c r="F2" s="202" t="s">
        <v>267</v>
      </c>
    </row>
    <row r="3" spans="1:6" x14ac:dyDescent="0.3">
      <c r="A3" s="203">
        <v>1</v>
      </c>
      <c r="B3" s="155">
        <v>0.03</v>
      </c>
      <c r="C3" s="204">
        <f>1/(1+B3)^A3</f>
        <v>0.970873786407767</v>
      </c>
      <c r="D3" s="203" t="s">
        <v>268</v>
      </c>
      <c r="E3" s="155">
        <f>(((1+B4)^2)/(1+B3))-1</f>
        <v>7.0388349514563187E-2</v>
      </c>
      <c r="F3" t="s">
        <v>269</v>
      </c>
    </row>
    <row r="4" spans="1:6" x14ac:dyDescent="0.3">
      <c r="A4" s="203">
        <v>2</v>
      </c>
      <c r="B4" s="155">
        <v>0.05</v>
      </c>
      <c r="C4" s="204">
        <f>1/(1+B4)^A4</f>
        <v>0.90702947845804982</v>
      </c>
      <c r="D4" s="203" t="s">
        <v>270</v>
      </c>
      <c r="E4" s="155">
        <f>(((1+B5)^2)/(1+B4))-1</f>
        <v>9.0380952380952451E-2</v>
      </c>
    </row>
    <row r="5" spans="1:6" x14ac:dyDescent="0.3">
      <c r="A5" s="203">
        <v>3</v>
      </c>
      <c r="B5" s="155">
        <v>7.0000000000000007E-2</v>
      </c>
      <c r="C5" s="204">
        <f>1/(1+B5)^A5</f>
        <v>0.81629787689085187</v>
      </c>
      <c r="D5" s="203" t="s">
        <v>271</v>
      </c>
      <c r="E5" s="155">
        <f>(((1+B5)^3)/(1+B3))^(1/2)-1</f>
        <v>9.0578807754088997E-2</v>
      </c>
    </row>
    <row r="6" spans="1:6" x14ac:dyDescent="0.3">
      <c r="B6" s="155"/>
      <c r="C6" s="204"/>
      <c r="D6" s="203"/>
      <c r="E6" s="155"/>
    </row>
    <row r="7" spans="1:6" x14ac:dyDescent="0.3">
      <c r="A7" s="117" t="s">
        <v>272</v>
      </c>
    </row>
    <row r="8" spans="1:6" x14ac:dyDescent="0.3">
      <c r="A8" s="202" t="s">
        <v>85</v>
      </c>
      <c r="B8" s="202" t="s">
        <v>273</v>
      </c>
      <c r="C8" s="202" t="s">
        <v>24</v>
      </c>
      <c r="D8" s="202" t="s">
        <v>274</v>
      </c>
      <c r="E8" s="202" t="s">
        <v>275</v>
      </c>
    </row>
    <row r="9" spans="1:6" x14ac:dyDescent="0.3">
      <c r="A9" s="203">
        <v>1</v>
      </c>
      <c r="B9" s="204">
        <f>C3</f>
        <v>0.970873786407767</v>
      </c>
      <c r="C9" s="205">
        <v>4</v>
      </c>
      <c r="D9" s="206">
        <f>B9*C9</f>
        <v>3.883495145631068</v>
      </c>
      <c r="E9" s="206">
        <f>A9*D9</f>
        <v>3.883495145631068</v>
      </c>
    </row>
    <row r="10" spans="1:6" x14ac:dyDescent="0.3">
      <c r="A10" s="203">
        <v>2</v>
      </c>
      <c r="B10" s="204">
        <f>$C$4</f>
        <v>0.90702947845804982</v>
      </c>
      <c r="C10" s="205">
        <v>4</v>
      </c>
      <c r="D10" s="206">
        <f>B10*C10</f>
        <v>3.6281179138321993</v>
      </c>
      <c r="E10" s="206">
        <f>A10*D10</f>
        <v>7.2562358276643986</v>
      </c>
    </row>
    <row r="11" spans="1:6" x14ac:dyDescent="0.3">
      <c r="A11" s="203">
        <v>3</v>
      </c>
      <c r="B11" s="204">
        <f>$C$5</f>
        <v>0.81629787689085187</v>
      </c>
      <c r="C11" s="205">
        <v>104</v>
      </c>
      <c r="D11" s="206">
        <f>B11*C11</f>
        <v>84.894979196648592</v>
      </c>
      <c r="E11" s="206">
        <f>A11*D11</f>
        <v>254.68493758994578</v>
      </c>
    </row>
    <row r="12" spans="1:6" x14ac:dyDescent="0.3">
      <c r="A12" t="s">
        <v>276</v>
      </c>
      <c r="B12" s="206">
        <f>SUM(D9:D11)</f>
        <v>92.406592256111864</v>
      </c>
    </row>
    <row r="13" spans="1:6" x14ac:dyDescent="0.3">
      <c r="A13" t="s">
        <v>277</v>
      </c>
      <c r="B13" s="206">
        <f>SUM(E9:E11)</f>
        <v>265.82466856324123</v>
      </c>
    </row>
    <row r="14" spans="1:6" x14ac:dyDescent="0.3">
      <c r="A14" t="s">
        <v>89</v>
      </c>
      <c r="B14" s="207">
        <f>B13/B12</f>
        <v>2.8766851159978724</v>
      </c>
      <c r="C14" t="s">
        <v>278</v>
      </c>
    </row>
    <row r="16" spans="1:6" x14ac:dyDescent="0.3">
      <c r="A16" s="131" t="s">
        <v>279</v>
      </c>
    </row>
    <row r="17" spans="1:3" x14ac:dyDescent="0.3">
      <c r="A17" t="s">
        <v>280</v>
      </c>
      <c r="B17" s="205">
        <v>97.98</v>
      </c>
    </row>
    <row r="18" spans="1:3" x14ac:dyDescent="0.3">
      <c r="A18" t="s">
        <v>230</v>
      </c>
      <c r="B18" s="205">
        <v>100</v>
      </c>
    </row>
    <row r="19" spans="1:3" x14ac:dyDescent="0.3">
      <c r="A19" t="s">
        <v>281</v>
      </c>
      <c r="B19" s="208">
        <v>4.75</v>
      </c>
    </row>
    <row r="20" spans="1:3" x14ac:dyDescent="0.3">
      <c r="A20" t="s">
        <v>282</v>
      </c>
      <c r="B20" s="209">
        <v>2.9399999999999999E-2</v>
      </c>
    </row>
    <row r="21" spans="1:3" x14ac:dyDescent="0.3">
      <c r="A21" t="s">
        <v>283</v>
      </c>
      <c r="B21" s="209">
        <v>1E-3</v>
      </c>
    </row>
    <row r="22" spans="1:3" x14ac:dyDescent="0.3">
      <c r="A22" t="s">
        <v>284</v>
      </c>
      <c r="B22" s="155">
        <f>-B19*B21/(1+B20)</f>
        <v>-4.6143384495822802E-3</v>
      </c>
      <c r="C22" t="s">
        <v>285</v>
      </c>
    </row>
    <row r="23" spans="1:3" x14ac:dyDescent="0.3">
      <c r="A23" t="s">
        <v>286</v>
      </c>
      <c r="B23" s="206">
        <f>B17*B22</f>
        <v>-0.45211288129007182</v>
      </c>
    </row>
    <row r="24" spans="1:3" x14ac:dyDescent="0.3">
      <c r="A24" t="s">
        <v>287</v>
      </c>
      <c r="B24" s="206">
        <f>B17+B23</f>
        <v>97.527887118709927</v>
      </c>
    </row>
    <row r="26" spans="1:3" x14ac:dyDescent="0.3">
      <c r="A26" s="117" t="s">
        <v>288</v>
      </c>
    </row>
    <row r="27" spans="1:3" x14ac:dyDescent="0.3">
      <c r="A27" s="117" t="s">
        <v>289</v>
      </c>
    </row>
    <row r="28" spans="1:3" x14ac:dyDescent="0.3">
      <c r="A28" t="s">
        <v>290</v>
      </c>
      <c r="B28" s="208">
        <v>0.98</v>
      </c>
    </row>
    <row r="29" spans="1:3" x14ac:dyDescent="0.3">
      <c r="A29" t="s">
        <v>291</v>
      </c>
      <c r="B29" s="203">
        <v>1</v>
      </c>
    </row>
    <row r="30" spans="1:3" x14ac:dyDescent="0.3">
      <c r="A30" t="s">
        <v>292</v>
      </c>
      <c r="B30" s="208">
        <v>0.85</v>
      </c>
    </row>
    <row r="31" spans="1:3" x14ac:dyDescent="0.3">
      <c r="A31" t="s">
        <v>293</v>
      </c>
      <c r="B31" s="203">
        <v>3</v>
      </c>
    </row>
    <row r="32" spans="1:3" x14ac:dyDescent="0.3">
      <c r="A32" t="s">
        <v>294</v>
      </c>
      <c r="B32" s="203">
        <v>1</v>
      </c>
    </row>
    <row r="33" spans="1:4" x14ac:dyDescent="0.3">
      <c r="A33" t="s">
        <v>295</v>
      </c>
      <c r="B33" s="207">
        <f>-(B32*B28*B29)/(B30*B31)</f>
        <v>-0.3843137254901961</v>
      </c>
    </row>
    <row r="35" spans="1:4" x14ac:dyDescent="0.3">
      <c r="A35" s="117" t="s">
        <v>296</v>
      </c>
    </row>
    <row r="36" spans="1:4" x14ac:dyDescent="0.3">
      <c r="A36" t="s">
        <v>292</v>
      </c>
      <c r="B36" s="208">
        <v>0.85</v>
      </c>
    </row>
    <row r="37" spans="1:4" x14ac:dyDescent="0.3">
      <c r="A37" t="s">
        <v>293</v>
      </c>
      <c r="B37" s="203">
        <v>3</v>
      </c>
    </row>
    <row r="38" spans="1:4" x14ac:dyDescent="0.3">
      <c r="A38" t="s">
        <v>290</v>
      </c>
      <c r="B38" s="208">
        <v>0.98</v>
      </c>
    </row>
    <row r="39" spans="1:4" x14ac:dyDescent="0.3">
      <c r="A39" t="s">
        <v>291</v>
      </c>
      <c r="B39" s="203">
        <v>1</v>
      </c>
    </row>
    <row r="40" spans="1:4" x14ac:dyDescent="0.3">
      <c r="A40" t="s">
        <v>297</v>
      </c>
      <c r="B40" s="203">
        <v>1</v>
      </c>
    </row>
    <row r="41" spans="1:4" x14ac:dyDescent="0.3">
      <c r="A41" t="s">
        <v>298</v>
      </c>
      <c r="B41" s="207">
        <f>-(B40*B36*B37)/(B38*B39)</f>
        <v>-2.6020408163265305</v>
      </c>
    </row>
    <row r="43" spans="1:4" x14ac:dyDescent="0.3">
      <c r="A43" s="117" t="s">
        <v>299</v>
      </c>
    </row>
    <row r="45" spans="1:4" x14ac:dyDescent="0.3">
      <c r="A45" s="117" t="s">
        <v>190</v>
      </c>
      <c r="B45" s="131" t="s">
        <v>192</v>
      </c>
    </row>
    <row r="46" spans="1:4" x14ac:dyDescent="0.3">
      <c r="A46" s="202" t="s">
        <v>300</v>
      </c>
      <c r="B46" s="202">
        <v>80</v>
      </c>
      <c r="C46" s="202">
        <v>100</v>
      </c>
      <c r="D46" s="202">
        <v>500</v>
      </c>
    </row>
    <row r="47" spans="1:4" x14ac:dyDescent="0.3">
      <c r="A47" s="203">
        <v>12</v>
      </c>
      <c r="B47" s="155">
        <f>(B46/100)*B49*(A47/A48)</f>
        <v>1.9200000000000002E-2</v>
      </c>
      <c r="C47" s="155">
        <f>(C46/100)*B49*(A47/A48)</f>
        <v>2.4E-2</v>
      </c>
      <c r="D47" s="155">
        <f>(D46/100)*B49*(A47/A48)</f>
        <v>0.12</v>
      </c>
    </row>
    <row r="48" spans="1:4" x14ac:dyDescent="0.3">
      <c r="A48" s="203">
        <v>30</v>
      </c>
      <c r="B48" s="155">
        <f>(B46/100)*B49*(A48/A48)</f>
        <v>4.8000000000000001E-2</v>
      </c>
      <c r="C48" s="155">
        <f>(C46/100)*B49*(A48/A48)</f>
        <v>0.06</v>
      </c>
      <c r="D48" s="155">
        <f>(D46/100)*B49*(A48/A48)</f>
        <v>0.3</v>
      </c>
    </row>
    <row r="49" spans="1:5" x14ac:dyDescent="0.3">
      <c r="A49" s="203" t="s">
        <v>190</v>
      </c>
      <c r="B49" s="210">
        <v>0.06</v>
      </c>
    </row>
    <row r="51" spans="1:5" x14ac:dyDescent="0.3">
      <c r="A51" s="117" t="s">
        <v>191</v>
      </c>
      <c r="B51" s="131" t="s">
        <v>301</v>
      </c>
      <c r="E51" t="s">
        <v>302</v>
      </c>
    </row>
    <row r="52" spans="1:5" x14ac:dyDescent="0.3">
      <c r="A52" s="202" t="s">
        <v>300</v>
      </c>
      <c r="B52" s="202">
        <f>B46</f>
        <v>80</v>
      </c>
      <c r="C52" s="202">
        <f>C46</f>
        <v>100</v>
      </c>
      <c r="D52" s="202">
        <f>D46</f>
        <v>500</v>
      </c>
      <c r="E52" s="202" t="s">
        <v>303</v>
      </c>
    </row>
    <row r="53" spans="1:5" x14ac:dyDescent="0.3">
      <c r="A53" s="203">
        <f>A47</f>
        <v>12</v>
      </c>
      <c r="B53" s="211">
        <f t="shared" ref="B53:D54" si="0">1-(1-B47)^(1/12)</f>
        <v>1.6142551696204377E-3</v>
      </c>
      <c r="C53" s="211">
        <f t="shared" si="0"/>
        <v>2.0223433498771648E-3</v>
      </c>
      <c r="D53" s="211">
        <f t="shared" si="0"/>
        <v>1.0596241035318976E-2</v>
      </c>
    </row>
    <row r="54" spans="1:5" x14ac:dyDescent="0.3">
      <c r="A54" s="203">
        <f>A48</f>
        <v>30</v>
      </c>
      <c r="B54" s="211">
        <f t="shared" si="0"/>
        <v>4.0907968170484921E-3</v>
      </c>
      <c r="C54" s="211">
        <f t="shared" si="0"/>
        <v>5.1430128318229462E-3</v>
      </c>
      <c r="D54" s="211">
        <f t="shared" si="0"/>
        <v>2.9285530376777613E-2</v>
      </c>
    </row>
    <row r="56" spans="1:5" x14ac:dyDescent="0.3">
      <c r="A56" s="117" t="s">
        <v>304</v>
      </c>
    </row>
    <row r="57" spans="1:5" x14ac:dyDescent="0.3">
      <c r="A57" s="202" t="s">
        <v>301</v>
      </c>
      <c r="B57" s="202" t="s">
        <v>191</v>
      </c>
      <c r="C57" s="202" t="s">
        <v>184</v>
      </c>
      <c r="D57" s="202" t="s">
        <v>187</v>
      </c>
      <c r="E57" s="202" t="s">
        <v>305</v>
      </c>
    </row>
    <row r="58" spans="1:5" x14ac:dyDescent="0.3">
      <c r="A58" s="203">
        <v>80</v>
      </c>
      <c r="B58" s="203">
        <f>B53</f>
        <v>1.6142551696204377E-3</v>
      </c>
      <c r="C58" s="212">
        <v>500000000</v>
      </c>
      <c r="D58" s="212">
        <v>10000000</v>
      </c>
      <c r="E58" s="213">
        <f>(C58-D58)*B58</f>
        <v>790985.03311401443</v>
      </c>
    </row>
    <row r="59" spans="1:5" x14ac:dyDescent="0.3">
      <c r="A59" s="203">
        <v>500</v>
      </c>
      <c r="B59" s="203">
        <f>D53</f>
        <v>1.0596241035318976E-2</v>
      </c>
      <c r="C59" s="212">
        <v>500000000</v>
      </c>
      <c r="D59" s="212">
        <v>10000000</v>
      </c>
      <c r="E59" s="213">
        <f>(C59-D59)*B59</f>
        <v>5192158.1073062988</v>
      </c>
    </row>
    <row r="61" spans="1:5" x14ac:dyDescent="0.3">
      <c r="A61" s="117" t="s">
        <v>306</v>
      </c>
    </row>
    <row r="62" spans="1:5" x14ac:dyDescent="0.3">
      <c r="A62" t="s">
        <v>307</v>
      </c>
      <c r="B62" s="212">
        <v>10000000</v>
      </c>
    </row>
    <row r="63" spans="1:5" x14ac:dyDescent="0.3">
      <c r="A63" t="s">
        <v>308</v>
      </c>
      <c r="B63" s="209">
        <v>5.7500000000000002E-2</v>
      </c>
    </row>
    <row r="64" spans="1:5" x14ac:dyDescent="0.3">
      <c r="A64" t="s">
        <v>309</v>
      </c>
      <c r="B64" s="209">
        <v>0</v>
      </c>
    </row>
    <row r="65" spans="1:2" x14ac:dyDescent="0.3">
      <c r="A65" t="s">
        <v>310</v>
      </c>
      <c r="B65" s="209">
        <v>4.4999999999999998E-2</v>
      </c>
    </row>
    <row r="66" spans="1:2" x14ac:dyDescent="0.3">
      <c r="A66" t="s">
        <v>311</v>
      </c>
      <c r="B66" s="155">
        <f>B64+B65</f>
        <v>4.4999999999999998E-2</v>
      </c>
    </row>
    <row r="67" spans="1:2" x14ac:dyDescent="0.3">
      <c r="A67" t="s">
        <v>312</v>
      </c>
      <c r="B67" s="155">
        <f>B66-B63</f>
        <v>-1.2500000000000004E-2</v>
      </c>
    </row>
    <row r="68" spans="1:2" x14ac:dyDescent="0.3">
      <c r="A68" t="s">
        <v>313</v>
      </c>
      <c r="B68" s="214">
        <f>B62*B67</f>
        <v>-125000.00000000004</v>
      </c>
    </row>
    <row r="70" spans="1:2" x14ac:dyDescent="0.3">
      <c r="A70" s="117" t="s">
        <v>314</v>
      </c>
    </row>
    <row r="71" spans="1:2" x14ac:dyDescent="0.3">
      <c r="A71" t="s">
        <v>315</v>
      </c>
      <c r="B71" s="212">
        <v>100000000</v>
      </c>
    </row>
    <row r="72" spans="1:2" x14ac:dyDescent="0.3">
      <c r="A72" t="s">
        <v>316</v>
      </c>
      <c r="B72" s="209">
        <v>5.5E-2</v>
      </c>
    </row>
    <row r="73" spans="1:2" x14ac:dyDescent="0.3">
      <c r="A73" t="s">
        <v>317</v>
      </c>
      <c r="B73" s="212">
        <v>75000000</v>
      </c>
    </row>
    <row r="74" spans="1:2" x14ac:dyDescent="0.3">
      <c r="A74" t="s">
        <v>318</v>
      </c>
      <c r="B74" s="209">
        <v>0.01</v>
      </c>
    </row>
    <row r="75" spans="1:2" x14ac:dyDescent="0.3">
      <c r="A75" t="s">
        <v>319</v>
      </c>
      <c r="B75" s="212">
        <v>25000000</v>
      </c>
    </row>
    <row r="77" spans="1:2" x14ac:dyDescent="0.3">
      <c r="A77" t="s">
        <v>320</v>
      </c>
      <c r="B77" s="207">
        <f>B73/B75</f>
        <v>3</v>
      </c>
    </row>
    <row r="78" spans="1:2" x14ac:dyDescent="0.3">
      <c r="A78" t="s">
        <v>321</v>
      </c>
      <c r="B78" s="155">
        <f>(B71*B72 - B73*B74)/B75</f>
        <v>0.19</v>
      </c>
    </row>
    <row r="79" spans="1:2" x14ac:dyDescent="0.3">
      <c r="A79" t="s">
        <v>322</v>
      </c>
      <c r="B79">
        <v>0</v>
      </c>
    </row>
    <row r="80" spans="1:2" x14ac:dyDescent="0.3">
      <c r="A80" t="s">
        <v>323</v>
      </c>
      <c r="B80" s="155">
        <f>B78/B77</f>
        <v>6.3333333333333339E-2</v>
      </c>
    </row>
    <row r="81" spans="1:2" x14ac:dyDescent="0.3">
      <c r="A81" t="s">
        <v>324</v>
      </c>
      <c r="B81" s="155">
        <f>B80 + B74</f>
        <v>7.3333333333333334E-2</v>
      </c>
    </row>
  </sheetData>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9273E-3D42-4C89-860B-F6B4DD6048CA}">
  <dimension ref="A1:B11"/>
  <sheetViews>
    <sheetView workbookViewId="0">
      <selection activeCell="A7" sqref="A7"/>
    </sheetView>
  </sheetViews>
  <sheetFormatPr defaultRowHeight="14.4" x14ac:dyDescent="0.3"/>
  <cols>
    <col min="1" max="1" width="20.109375" customWidth="1"/>
    <col min="2" max="2" width="43.21875" style="215" customWidth="1"/>
  </cols>
  <sheetData>
    <row r="1" spans="1:2" x14ac:dyDescent="0.3">
      <c r="A1" t="s">
        <v>326</v>
      </c>
    </row>
    <row r="2" spans="1:2" x14ac:dyDescent="0.3">
      <c r="A2" t="s">
        <v>325</v>
      </c>
    </row>
    <row r="3" spans="1:2" x14ac:dyDescent="0.3">
      <c r="A3" t="s">
        <v>328</v>
      </c>
    </row>
    <row r="5" spans="1:2" x14ac:dyDescent="0.3">
      <c r="A5" t="s">
        <v>327</v>
      </c>
    </row>
    <row r="8" spans="1:2" ht="72" x14ac:dyDescent="0.3">
      <c r="A8" t="s">
        <v>329</v>
      </c>
      <c r="B8" s="215" t="s">
        <v>330</v>
      </c>
    </row>
    <row r="11" spans="1:2" x14ac:dyDescent="0.3">
      <c r="A11" t="s">
        <v>331</v>
      </c>
      <c r="B11" s="215" t="s">
        <v>332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Office</Application>
  <DocSecurity>0</DocSecurity>
  <ScaleCrop>false</ScaleCrop>
  <HeadingPairs>
    <vt:vector size="2" baseType="variant">
      <vt:variant>
        <vt:lpstr>Worksheets</vt:lpstr>
      </vt:variant>
      <vt:variant>
        <vt:i4>14</vt:i4>
      </vt:variant>
    </vt:vector>
  </HeadingPairs>
  <TitlesOfParts>
    <vt:vector size="14" baseType="lpstr">
      <vt:lpstr>Bond Pricing</vt:lpstr>
      <vt:lpstr>Bond YTM</vt:lpstr>
      <vt:lpstr>Bond Returns</vt:lpstr>
      <vt:lpstr>Bootstrapping</vt:lpstr>
      <vt:lpstr>Duration Hedging</vt:lpstr>
      <vt:lpstr>Bond Arbitrage</vt:lpstr>
      <vt:lpstr>Term structure&amp;Int R</vt:lpstr>
      <vt:lpstr>TVM, Bond Pricing, Yields.</vt:lpstr>
      <vt:lpstr>Duration Assgn</vt:lpstr>
      <vt:lpstr>Mortgages</vt:lpstr>
      <vt:lpstr>CPR</vt:lpstr>
      <vt:lpstr>Floater or Inverse Floater</vt: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Eshan Mukherjee</dc:creator>
  <cp:lastModifiedBy>Eshan Mukherjee</cp:lastModifiedBy>
  <cp:lastPrinted>2015-08-26T22:04:39Z</cp:lastPrinted>
  <dcterms:created xsi:type="dcterms:W3CDTF">2014-09-07T21:39:57Z</dcterms:created>
  <dcterms:modified xsi:type="dcterms:W3CDTF">2025-12-12T20:00:50Z</dcterms:modified>
</cp:coreProperties>
</file>