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ffic\.codex\worktrees\58ac\Portfolio_Final\Real Estate\Real Estate Equity\Waterfall Model\"/>
    </mc:Choice>
  </mc:AlternateContent>
  <xr:revisionPtr revIDLastSave="0" documentId="13_ncr:1_{5A8AAAF4-8804-47F1-A514-F629692F3F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vestor Summary" sheetId="7" r:id="rId1"/>
    <sheet name="1. Inputs" sheetId="1" r:id="rId2"/>
    <sheet name="2. Monthly CF" sheetId="2" r:id="rId3"/>
    <sheet name="3. Part I Waterfall" sheetId="3" r:id="rId4"/>
    <sheet name="4. Part II Waterfall" sheetId="4" r:id="rId5"/>
    <sheet name="5. Part III Waterfall" sheetId="5" r:id="rId6"/>
    <sheet name="6. Returns Summary" sheetId="6" r:id="rId7"/>
  </sheets>
  <definedNames>
    <definedName name="_xlnm.Print_Area" localSheetId="0">'Investor Summary'!$C$2:$I$55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5" l="1"/>
  <c r="B37" i="5"/>
  <c r="D36" i="5"/>
  <c r="C36" i="5"/>
  <c r="B36" i="5"/>
  <c r="D35" i="5"/>
  <c r="C35" i="5"/>
  <c r="B35" i="5"/>
  <c r="D34" i="5"/>
  <c r="C34" i="5"/>
  <c r="B34" i="5"/>
  <c r="D33" i="5"/>
  <c r="E33" i="5" s="1"/>
  <c r="X33" i="5" s="1"/>
  <c r="AC33" i="5" s="1"/>
  <c r="C33" i="5"/>
  <c r="B33" i="5"/>
  <c r="D32" i="5"/>
  <c r="C32" i="5"/>
  <c r="B32" i="5"/>
  <c r="D31" i="5"/>
  <c r="C31" i="5"/>
  <c r="B31" i="5"/>
  <c r="D30" i="5"/>
  <c r="C30" i="5"/>
  <c r="B30" i="5"/>
  <c r="D29" i="5"/>
  <c r="C29" i="5"/>
  <c r="B29" i="5"/>
  <c r="D28" i="5"/>
  <c r="C28" i="5"/>
  <c r="B28" i="5"/>
  <c r="D27" i="5"/>
  <c r="C27" i="5"/>
  <c r="B27" i="5"/>
  <c r="D26" i="5"/>
  <c r="C26" i="5"/>
  <c r="B26" i="5"/>
  <c r="D25" i="5"/>
  <c r="C25" i="5"/>
  <c r="B25" i="5"/>
  <c r="D24" i="5"/>
  <c r="C24" i="5"/>
  <c r="B24" i="5"/>
  <c r="D23" i="5"/>
  <c r="C23" i="5"/>
  <c r="B23" i="5"/>
  <c r="D22" i="5"/>
  <c r="C22" i="5"/>
  <c r="B22" i="5"/>
  <c r="D21" i="5"/>
  <c r="C21" i="5"/>
  <c r="B21" i="5"/>
  <c r="D20" i="5"/>
  <c r="E20" i="5" s="1"/>
  <c r="X20" i="5" s="1"/>
  <c r="AC20" i="5" s="1"/>
  <c r="C20" i="5"/>
  <c r="B20" i="5"/>
  <c r="D19" i="5"/>
  <c r="C19" i="5"/>
  <c r="B19" i="5"/>
  <c r="D18" i="5"/>
  <c r="C18" i="5"/>
  <c r="B18" i="5"/>
  <c r="D17" i="5"/>
  <c r="C17" i="5"/>
  <c r="B17" i="5"/>
  <c r="D16" i="5"/>
  <c r="C16" i="5"/>
  <c r="B16" i="5"/>
  <c r="D15" i="5"/>
  <c r="C15" i="5"/>
  <c r="B15" i="5"/>
  <c r="D14" i="5"/>
  <c r="E14" i="5" s="1"/>
  <c r="X14" i="5" s="1"/>
  <c r="AC14" i="5" s="1"/>
  <c r="C14" i="5"/>
  <c r="B14" i="5"/>
  <c r="D13" i="5"/>
  <c r="C13" i="5"/>
  <c r="B13" i="5"/>
  <c r="D12" i="5"/>
  <c r="C12" i="5"/>
  <c r="B12" i="5"/>
  <c r="D11" i="5"/>
  <c r="C11" i="5"/>
  <c r="B11" i="5"/>
  <c r="D10" i="5"/>
  <c r="C10" i="5"/>
  <c r="B10" i="5"/>
  <c r="D9" i="5"/>
  <c r="C9" i="5"/>
  <c r="B9" i="5"/>
  <c r="D8" i="5"/>
  <c r="C8" i="5"/>
  <c r="B8" i="5"/>
  <c r="D7" i="5"/>
  <c r="C7" i="5"/>
  <c r="B7" i="5"/>
  <c r="D6" i="5"/>
  <c r="C6" i="5"/>
  <c r="B6" i="5"/>
  <c r="M5" i="5"/>
  <c r="H5" i="5"/>
  <c r="C5" i="5"/>
  <c r="B5" i="5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D32" i="4"/>
  <c r="C32" i="4"/>
  <c r="B32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D19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  <c r="D11" i="4"/>
  <c r="C11" i="4"/>
  <c r="B11" i="4"/>
  <c r="D10" i="4"/>
  <c r="C10" i="4"/>
  <c r="B10" i="4"/>
  <c r="D9" i="4"/>
  <c r="C9" i="4"/>
  <c r="B9" i="4"/>
  <c r="D8" i="4"/>
  <c r="C8" i="4"/>
  <c r="B8" i="4"/>
  <c r="D7" i="4"/>
  <c r="C7" i="4"/>
  <c r="B7" i="4"/>
  <c r="D6" i="4"/>
  <c r="C6" i="4"/>
  <c r="B6" i="4"/>
  <c r="K5" i="4"/>
  <c r="J5" i="4"/>
  <c r="L5" i="4" s="1"/>
  <c r="F5" i="4"/>
  <c r="E5" i="4"/>
  <c r="G5" i="4" s="1"/>
  <c r="C5" i="4"/>
  <c r="B5" i="4"/>
  <c r="B37" i="3"/>
  <c r="D36" i="3"/>
  <c r="C36" i="3"/>
  <c r="B36" i="3"/>
  <c r="D35" i="3"/>
  <c r="C35" i="3"/>
  <c r="B35" i="3"/>
  <c r="D34" i="3"/>
  <c r="C34" i="3"/>
  <c r="B34" i="3"/>
  <c r="D33" i="3"/>
  <c r="C33" i="3"/>
  <c r="B33" i="3"/>
  <c r="D32" i="3"/>
  <c r="C32" i="3"/>
  <c r="B32" i="3"/>
  <c r="D31" i="3"/>
  <c r="C31" i="3"/>
  <c r="B31" i="3"/>
  <c r="D30" i="3"/>
  <c r="C30" i="3"/>
  <c r="B30" i="3"/>
  <c r="D29" i="3"/>
  <c r="C29" i="3"/>
  <c r="B29" i="3"/>
  <c r="D28" i="3"/>
  <c r="C28" i="3"/>
  <c r="B28" i="3"/>
  <c r="D27" i="3"/>
  <c r="C27" i="3"/>
  <c r="B27" i="3"/>
  <c r="D26" i="3"/>
  <c r="C26" i="3"/>
  <c r="B26" i="3"/>
  <c r="D25" i="3"/>
  <c r="C25" i="3"/>
  <c r="B25" i="3"/>
  <c r="D24" i="3"/>
  <c r="C24" i="3"/>
  <c r="B24" i="3"/>
  <c r="D23" i="3"/>
  <c r="C23" i="3"/>
  <c r="B23" i="3"/>
  <c r="D22" i="3"/>
  <c r="C22" i="3"/>
  <c r="B22" i="3"/>
  <c r="D21" i="3"/>
  <c r="C21" i="3"/>
  <c r="B21" i="3"/>
  <c r="D20" i="3"/>
  <c r="C20" i="3"/>
  <c r="B20" i="3"/>
  <c r="D19" i="3"/>
  <c r="C19" i="3"/>
  <c r="B19" i="3"/>
  <c r="D18" i="3"/>
  <c r="C18" i="3"/>
  <c r="B18" i="3"/>
  <c r="D17" i="3"/>
  <c r="C17" i="3"/>
  <c r="B17" i="3"/>
  <c r="D16" i="3"/>
  <c r="C16" i="3"/>
  <c r="B16" i="3"/>
  <c r="D15" i="3"/>
  <c r="C15" i="3"/>
  <c r="B15" i="3"/>
  <c r="D14" i="3"/>
  <c r="C14" i="3"/>
  <c r="B14" i="3"/>
  <c r="D13" i="3"/>
  <c r="C13" i="3"/>
  <c r="B13" i="3"/>
  <c r="D12" i="3"/>
  <c r="C12" i="3"/>
  <c r="B12" i="3"/>
  <c r="D11" i="3"/>
  <c r="C11" i="3"/>
  <c r="B11" i="3"/>
  <c r="D10" i="3"/>
  <c r="C10" i="3"/>
  <c r="B10" i="3"/>
  <c r="D9" i="3"/>
  <c r="C9" i="3"/>
  <c r="B9" i="3"/>
  <c r="D8" i="3"/>
  <c r="C8" i="3"/>
  <c r="B8" i="3"/>
  <c r="D7" i="3"/>
  <c r="C7" i="3"/>
  <c r="B7" i="3"/>
  <c r="D6" i="3"/>
  <c r="C6" i="3"/>
  <c r="B6" i="3"/>
  <c r="F5" i="3"/>
  <c r="E5" i="3"/>
  <c r="G5" i="3" s="1"/>
  <c r="C5" i="3"/>
  <c r="B5" i="3"/>
  <c r="C40" i="2"/>
  <c r="D37" i="2"/>
  <c r="D5" i="2"/>
  <c r="C43" i="2" s="1"/>
  <c r="C31" i="1"/>
  <c r="D30" i="1"/>
  <c r="F41" i="5" s="1"/>
  <c r="D29" i="1"/>
  <c r="E41" i="5" s="1"/>
  <c r="D28" i="1"/>
  <c r="D41" i="5" s="1"/>
  <c r="D27" i="1"/>
  <c r="C41" i="5" s="1"/>
  <c r="C23" i="1"/>
  <c r="C20" i="1"/>
  <c r="C13" i="1"/>
  <c r="D12" i="1"/>
  <c r="D11" i="1"/>
  <c r="F29" i="6" l="1"/>
  <c r="G18" i="7"/>
  <c r="C29" i="6"/>
  <c r="F18" i="7"/>
  <c r="F22" i="6"/>
  <c r="E18" i="7"/>
  <c r="C22" i="6"/>
  <c r="D18" i="7"/>
  <c r="E36" i="5"/>
  <c r="X36" i="5" s="1"/>
  <c r="AC36" i="5" s="1"/>
  <c r="E35" i="5"/>
  <c r="X35" i="5" s="1"/>
  <c r="AC35" i="5" s="1"/>
  <c r="E34" i="5"/>
  <c r="X34" i="5" s="1"/>
  <c r="AC34" i="5" s="1"/>
  <c r="E32" i="5"/>
  <c r="X32" i="5" s="1"/>
  <c r="AC32" i="5" s="1"/>
  <c r="E31" i="5"/>
  <c r="X31" i="5" s="1"/>
  <c r="AC31" i="5" s="1"/>
  <c r="E30" i="5"/>
  <c r="X30" i="5" s="1"/>
  <c r="AC30" i="5" s="1"/>
  <c r="E29" i="5"/>
  <c r="X29" i="5" s="1"/>
  <c r="AC29" i="5" s="1"/>
  <c r="E28" i="5"/>
  <c r="X28" i="5" s="1"/>
  <c r="AC28" i="5" s="1"/>
  <c r="E27" i="5"/>
  <c r="X27" i="5" s="1"/>
  <c r="AC27" i="5" s="1"/>
  <c r="E26" i="5"/>
  <c r="X26" i="5" s="1"/>
  <c r="AC26" i="5" s="1"/>
  <c r="E25" i="5"/>
  <c r="X25" i="5" s="1"/>
  <c r="AC25" i="5" s="1"/>
  <c r="E24" i="5"/>
  <c r="X24" i="5" s="1"/>
  <c r="AC24" i="5" s="1"/>
  <c r="E23" i="5"/>
  <c r="X23" i="5" s="1"/>
  <c r="AC23" i="5" s="1"/>
  <c r="E22" i="5"/>
  <c r="X22" i="5" s="1"/>
  <c r="AC22" i="5" s="1"/>
  <c r="E21" i="5"/>
  <c r="X21" i="5" s="1"/>
  <c r="AC21" i="5" s="1"/>
  <c r="E19" i="5"/>
  <c r="X19" i="5" s="1"/>
  <c r="AC19" i="5" s="1"/>
  <c r="E18" i="5"/>
  <c r="X18" i="5" s="1"/>
  <c r="AC18" i="5" s="1"/>
  <c r="E17" i="5"/>
  <c r="X17" i="5" s="1"/>
  <c r="AC17" i="5" s="1"/>
  <c r="E16" i="5"/>
  <c r="X16" i="5" s="1"/>
  <c r="AC16" i="5" s="1"/>
  <c r="E15" i="5"/>
  <c r="X15" i="5" s="1"/>
  <c r="AC15" i="5" s="1"/>
  <c r="E13" i="5"/>
  <c r="X13" i="5" s="1"/>
  <c r="AC13" i="5" s="1"/>
  <c r="E12" i="5"/>
  <c r="X12" i="5" s="1"/>
  <c r="AC12" i="5" s="1"/>
  <c r="E11" i="5"/>
  <c r="X11" i="5" s="1"/>
  <c r="AC11" i="5" s="1"/>
  <c r="E10" i="5"/>
  <c r="X10" i="5" s="1"/>
  <c r="AC10" i="5" s="1"/>
  <c r="E9" i="5"/>
  <c r="X9" i="5" s="1"/>
  <c r="AC9" i="5" s="1"/>
  <c r="E8" i="5"/>
  <c r="X8" i="5" s="1"/>
  <c r="AC8" i="5" s="1"/>
  <c r="E7" i="5"/>
  <c r="X7" i="5" s="1"/>
  <c r="AC7" i="5" s="1"/>
  <c r="E6" i="5"/>
  <c r="X6" i="5" s="1"/>
  <c r="AC6" i="5" s="1"/>
  <c r="C41" i="2"/>
  <c r="D5" i="5"/>
  <c r="E5" i="2"/>
  <c r="E6" i="2" s="1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D5" i="4"/>
  <c r="D5" i="3"/>
  <c r="L5" i="5"/>
  <c r="N5" i="5" s="1"/>
  <c r="G5" i="5"/>
  <c r="I5" i="5" s="1"/>
  <c r="D31" i="1"/>
  <c r="D41" i="4"/>
  <c r="F14" i="6" s="1"/>
  <c r="D41" i="3"/>
  <c r="F6" i="6" s="1"/>
  <c r="C41" i="4"/>
  <c r="C14" i="6" s="1"/>
  <c r="C41" i="3"/>
  <c r="C6" i="6" s="1"/>
  <c r="D13" i="1"/>
  <c r="C44" i="2" l="1"/>
  <c r="C42" i="2"/>
  <c r="E5" i="5"/>
  <c r="D37" i="5"/>
  <c r="H5" i="4"/>
  <c r="D37" i="4"/>
  <c r="H5" i="3"/>
  <c r="J5" i="3" s="1"/>
  <c r="D37" i="3"/>
  <c r="J5" i="5"/>
  <c r="K5" i="5" s="1"/>
  <c r="G6" i="5" s="1"/>
  <c r="X5" i="5" l="1"/>
  <c r="E37" i="5"/>
  <c r="I5" i="4"/>
  <c r="E6" i="4" s="1"/>
  <c r="M5" i="4"/>
  <c r="I5" i="3"/>
  <c r="E6" i="3" s="1"/>
  <c r="L5" i="3"/>
  <c r="K5" i="3"/>
  <c r="O5" i="5"/>
  <c r="P5" i="5" s="1"/>
  <c r="T5" i="5" s="1"/>
  <c r="H6" i="5"/>
  <c r="I6" i="5" s="1"/>
  <c r="AC5" i="5" l="1"/>
  <c r="D45" i="5" s="1"/>
  <c r="X37" i="5"/>
  <c r="D42" i="5"/>
  <c r="F6" i="4"/>
  <c r="G6" i="4" s="1"/>
  <c r="N5" i="4"/>
  <c r="F6" i="3"/>
  <c r="G6" i="3" s="1"/>
  <c r="P5" i="3"/>
  <c r="M5" i="3"/>
  <c r="Q5" i="5"/>
  <c r="R5" i="5"/>
  <c r="U5" i="5"/>
  <c r="V5" i="5"/>
  <c r="J6" i="5"/>
  <c r="K6" i="5" s="1"/>
  <c r="G7" i="5" s="1"/>
  <c r="N5" i="3"/>
  <c r="O5" i="3"/>
  <c r="E22" i="7" l="1"/>
  <c r="F23" i="6"/>
  <c r="D44" i="5"/>
  <c r="E19" i="7"/>
  <c r="D43" i="5"/>
  <c r="H6" i="4"/>
  <c r="I6" i="4" s="1"/>
  <c r="E7" i="4" s="1"/>
  <c r="P5" i="4"/>
  <c r="O5" i="4"/>
  <c r="R5" i="4"/>
  <c r="H6" i="3"/>
  <c r="I6" i="3" s="1"/>
  <c r="E7" i="3" s="1"/>
  <c r="Z5" i="5"/>
  <c r="Y5" i="5"/>
  <c r="S5" i="5"/>
  <c r="L6" i="5" s="1"/>
  <c r="W5" i="5"/>
  <c r="H7" i="5"/>
  <c r="I7" i="5" s="1"/>
  <c r="T5" i="3"/>
  <c r="Q5" i="3"/>
  <c r="R5" i="3" s="1"/>
  <c r="F24" i="6" l="1"/>
  <c r="E21" i="7"/>
  <c r="F25" i="6"/>
  <c r="E20" i="7"/>
  <c r="F7" i="4"/>
  <c r="G7" i="4" s="1"/>
  <c r="Q5" i="4"/>
  <c r="J6" i="4" s="1"/>
  <c r="T5" i="4"/>
  <c r="W5" i="4" s="1"/>
  <c r="S5" i="4"/>
  <c r="J6" i="3"/>
  <c r="F7" i="3"/>
  <c r="G7" i="3" s="1"/>
  <c r="AE5" i="5"/>
  <c r="AD5" i="5"/>
  <c r="M6" i="5"/>
  <c r="N6" i="5" s="1"/>
  <c r="O6" i="5" s="1"/>
  <c r="AA5" i="5"/>
  <c r="AB5" i="5"/>
  <c r="J7" i="5"/>
  <c r="K7" i="5" s="1"/>
  <c r="G8" i="5" s="1"/>
  <c r="S5" i="3"/>
  <c r="H7" i="4" l="1"/>
  <c r="I7" i="4" s="1"/>
  <c r="E8" i="4" s="1"/>
  <c r="K6" i="4"/>
  <c r="L6" i="4" s="1"/>
  <c r="M6" i="4" s="1"/>
  <c r="K6" i="3"/>
  <c r="L6" i="3"/>
  <c r="H7" i="3"/>
  <c r="I7" i="3" s="1"/>
  <c r="E8" i="3" s="1"/>
  <c r="P6" i="5"/>
  <c r="H8" i="5"/>
  <c r="I8" i="5" s="1"/>
  <c r="U5" i="4"/>
  <c r="V5" i="4"/>
  <c r="F8" i="4" l="1"/>
  <c r="G8" i="4" s="1"/>
  <c r="N6" i="4"/>
  <c r="M6" i="3"/>
  <c r="O6" i="3"/>
  <c r="N6" i="3"/>
  <c r="P6" i="3"/>
  <c r="J7" i="3"/>
  <c r="F8" i="3"/>
  <c r="G8" i="3" s="1"/>
  <c r="R6" i="5"/>
  <c r="Q6" i="5"/>
  <c r="T6" i="5"/>
  <c r="J8" i="5"/>
  <c r="K8" i="5" s="1"/>
  <c r="G9" i="5" s="1"/>
  <c r="AA5" i="4"/>
  <c r="X5" i="4"/>
  <c r="Y5" i="4" s="1"/>
  <c r="H8" i="4" l="1"/>
  <c r="I8" i="4" s="1"/>
  <c r="E9" i="4" s="1"/>
  <c r="P6" i="4"/>
  <c r="O6" i="4"/>
  <c r="R6" i="4"/>
  <c r="Q6" i="3"/>
  <c r="R6" i="3" s="1"/>
  <c r="T6" i="3"/>
  <c r="K7" i="3"/>
  <c r="L7" i="3"/>
  <c r="H8" i="3"/>
  <c r="I8" i="3" s="1"/>
  <c r="E9" i="3" s="1"/>
  <c r="S6" i="5"/>
  <c r="L7" i="5" s="1"/>
  <c r="V6" i="5"/>
  <c r="W6" i="5" s="1"/>
  <c r="U6" i="5"/>
  <c r="H9" i="5"/>
  <c r="I9" i="5" s="1"/>
  <c r="Z5" i="4"/>
  <c r="F9" i="4" l="1"/>
  <c r="G9" i="4" s="1"/>
  <c r="Q6" i="4"/>
  <c r="J7" i="4" s="1"/>
  <c r="S6" i="4"/>
  <c r="T6" i="4"/>
  <c r="W6" i="4" s="1"/>
  <c r="S6" i="3"/>
  <c r="M7" i="3"/>
  <c r="N7" i="3"/>
  <c r="O7" i="3"/>
  <c r="P7" i="3"/>
  <c r="J8" i="3"/>
  <c r="F9" i="3"/>
  <c r="G9" i="3" s="1"/>
  <c r="AB6" i="5"/>
  <c r="M7" i="5"/>
  <c r="N7" i="5" s="1"/>
  <c r="O7" i="5" s="1"/>
  <c r="J9" i="5"/>
  <c r="K9" i="5" s="1"/>
  <c r="G10" i="5" s="1"/>
  <c r="Z6" i="5"/>
  <c r="Y6" i="5"/>
  <c r="AA6" i="5" l="1"/>
  <c r="U6" i="4"/>
  <c r="AA6" i="4" s="1"/>
  <c r="V6" i="4"/>
  <c r="X6" i="4" s="1"/>
  <c r="H9" i="4"/>
  <c r="I9" i="4" s="1"/>
  <c r="E10" i="4" s="1"/>
  <c r="K7" i="4"/>
  <c r="L7" i="4" s="1"/>
  <c r="M7" i="4" s="1"/>
  <c r="T7" i="3"/>
  <c r="Q7" i="3"/>
  <c r="R7" i="3" s="1"/>
  <c r="K8" i="3"/>
  <c r="L8" i="3"/>
  <c r="H9" i="3"/>
  <c r="I9" i="3" s="1"/>
  <c r="E10" i="3" s="1"/>
  <c r="P7" i="5"/>
  <c r="H10" i="5"/>
  <c r="I10" i="5" s="1"/>
  <c r="AE6" i="5"/>
  <c r="AD6" i="5"/>
  <c r="Y6" i="4" l="1"/>
  <c r="F10" i="4"/>
  <c r="G10" i="4" s="1"/>
  <c r="N7" i="4"/>
  <c r="Z6" i="4"/>
  <c r="S7" i="3"/>
  <c r="N8" i="3"/>
  <c r="M8" i="3"/>
  <c r="O8" i="3"/>
  <c r="P8" i="3"/>
  <c r="J9" i="3"/>
  <c r="F10" i="3"/>
  <c r="G10" i="3" s="1"/>
  <c r="R7" i="5"/>
  <c r="Q7" i="5"/>
  <c r="T7" i="5"/>
  <c r="J10" i="5"/>
  <c r="K10" i="5" s="1"/>
  <c r="G11" i="5" s="1"/>
  <c r="H10" i="4" l="1"/>
  <c r="I10" i="4" s="1"/>
  <c r="E11" i="4" s="1"/>
  <c r="O7" i="4"/>
  <c r="P7" i="4"/>
  <c r="R7" i="4"/>
  <c r="T8" i="3"/>
  <c r="Q8" i="3"/>
  <c r="R8" i="3" s="1"/>
  <c r="K9" i="3"/>
  <c r="L9" i="3"/>
  <c r="P9" i="3" s="1"/>
  <c r="H10" i="3"/>
  <c r="I10" i="3" s="1"/>
  <c r="E11" i="3" s="1"/>
  <c r="S7" i="5"/>
  <c r="L8" i="5" s="1"/>
  <c r="V7" i="5"/>
  <c r="W7" i="5" s="1"/>
  <c r="U7" i="5"/>
  <c r="H11" i="5"/>
  <c r="I11" i="5" s="1"/>
  <c r="F11" i="4" l="1"/>
  <c r="G11" i="4" s="1"/>
  <c r="Q7" i="4"/>
  <c r="J8" i="4" s="1"/>
  <c r="S7" i="4"/>
  <c r="T7" i="4"/>
  <c r="W7" i="4" s="1"/>
  <c r="S8" i="3"/>
  <c r="M9" i="3"/>
  <c r="O9" i="3"/>
  <c r="Q9" i="3" s="1"/>
  <c r="S9" i="3" s="1"/>
  <c r="N9" i="3"/>
  <c r="J10" i="3"/>
  <c r="F11" i="3"/>
  <c r="G11" i="3" s="1"/>
  <c r="AB7" i="5"/>
  <c r="M8" i="5"/>
  <c r="N8" i="5" s="1"/>
  <c r="O8" i="5" s="1"/>
  <c r="J11" i="5"/>
  <c r="K11" i="5" s="1"/>
  <c r="G12" i="5" s="1"/>
  <c r="Y7" i="5"/>
  <c r="Z7" i="5"/>
  <c r="AA7" i="5" l="1"/>
  <c r="H11" i="4"/>
  <c r="I11" i="4" s="1"/>
  <c r="E12" i="4" s="1"/>
  <c r="K8" i="4"/>
  <c r="L8" i="4" s="1"/>
  <c r="M8" i="4" s="1"/>
  <c r="T9" i="3"/>
  <c r="R9" i="3"/>
  <c r="K10" i="3"/>
  <c r="L10" i="3"/>
  <c r="P10" i="3" s="1"/>
  <c r="H11" i="3"/>
  <c r="I11" i="3" s="1"/>
  <c r="E12" i="3" s="1"/>
  <c r="P8" i="5"/>
  <c r="H12" i="5"/>
  <c r="I12" i="5" s="1"/>
  <c r="AD7" i="5"/>
  <c r="AE7" i="5"/>
  <c r="V7" i="4"/>
  <c r="U7" i="4"/>
  <c r="F12" i="4" l="1"/>
  <c r="G12" i="4" s="1"/>
  <c r="N8" i="4"/>
  <c r="M10" i="3"/>
  <c r="N10" i="3"/>
  <c r="O10" i="3"/>
  <c r="Q10" i="3" s="1"/>
  <c r="S10" i="3" s="1"/>
  <c r="J11" i="3"/>
  <c r="F12" i="3"/>
  <c r="G12" i="3" s="1"/>
  <c r="R8" i="5"/>
  <c r="Q8" i="5"/>
  <c r="T8" i="5"/>
  <c r="J12" i="5"/>
  <c r="K12" i="5" s="1"/>
  <c r="G13" i="5" s="1"/>
  <c r="X7" i="4"/>
  <c r="Y7" i="4" s="1"/>
  <c r="AA7" i="4"/>
  <c r="H12" i="4" l="1"/>
  <c r="I12" i="4" s="1"/>
  <c r="E13" i="4" s="1"/>
  <c r="O8" i="4"/>
  <c r="P8" i="4"/>
  <c r="R8" i="4"/>
  <c r="R10" i="3"/>
  <c r="T10" i="3"/>
  <c r="L11" i="3"/>
  <c r="P11" i="3" s="1"/>
  <c r="K11" i="3"/>
  <c r="H12" i="3"/>
  <c r="I12" i="3" s="1"/>
  <c r="E13" i="3" s="1"/>
  <c r="S8" i="5"/>
  <c r="L9" i="5" s="1"/>
  <c r="V8" i="5"/>
  <c r="W8" i="5" s="1"/>
  <c r="U8" i="5"/>
  <c r="H13" i="5"/>
  <c r="I13" i="5" s="1"/>
  <c r="Z7" i="4"/>
  <c r="F13" i="4" l="1"/>
  <c r="G13" i="4" s="1"/>
  <c r="Q8" i="4"/>
  <c r="J9" i="4" s="1"/>
  <c r="S8" i="4"/>
  <c r="T8" i="4"/>
  <c r="W8" i="4" s="1"/>
  <c r="M11" i="3"/>
  <c r="O11" i="3"/>
  <c r="Q11" i="3" s="1"/>
  <c r="S11" i="3" s="1"/>
  <c r="N11" i="3"/>
  <c r="J12" i="3"/>
  <c r="F13" i="3"/>
  <c r="G13" i="3" s="1"/>
  <c r="AB8" i="5"/>
  <c r="M9" i="5"/>
  <c r="N9" i="5" s="1"/>
  <c r="O9" i="5" s="1"/>
  <c r="J13" i="5"/>
  <c r="K13" i="5" s="1"/>
  <c r="G14" i="5" s="1"/>
  <c r="Y8" i="5"/>
  <c r="Z8" i="5"/>
  <c r="AA8" i="5" l="1"/>
  <c r="H13" i="4"/>
  <c r="I13" i="4" s="1"/>
  <c r="E14" i="4" s="1"/>
  <c r="K9" i="4"/>
  <c r="L9" i="4" s="1"/>
  <c r="M9" i="4" s="1"/>
  <c r="T11" i="3"/>
  <c r="R11" i="3"/>
  <c r="K12" i="3"/>
  <c r="L12" i="3"/>
  <c r="P12" i="3" s="1"/>
  <c r="H13" i="3"/>
  <c r="I13" i="3" s="1"/>
  <c r="E14" i="3" s="1"/>
  <c r="P9" i="5"/>
  <c r="H14" i="5"/>
  <c r="I14" i="5" s="1"/>
  <c r="AD8" i="5"/>
  <c r="AE8" i="5"/>
  <c r="U8" i="4"/>
  <c r="V8" i="4"/>
  <c r="F14" i="4" l="1"/>
  <c r="G14" i="4" s="1"/>
  <c r="N9" i="4"/>
  <c r="M12" i="3"/>
  <c r="N12" i="3"/>
  <c r="O12" i="3"/>
  <c r="Q12" i="3" s="1"/>
  <c r="S12" i="3" s="1"/>
  <c r="J13" i="3"/>
  <c r="F14" i="3"/>
  <c r="G14" i="3" s="1"/>
  <c r="Q9" i="5"/>
  <c r="R9" i="5"/>
  <c r="T9" i="5"/>
  <c r="J14" i="5"/>
  <c r="K14" i="5" s="1"/>
  <c r="G15" i="5" s="1"/>
  <c r="AA8" i="4"/>
  <c r="X8" i="4"/>
  <c r="Y8" i="4" s="1"/>
  <c r="H14" i="4" l="1"/>
  <c r="I14" i="4" s="1"/>
  <c r="E15" i="4" s="1"/>
  <c r="O9" i="4"/>
  <c r="P9" i="4"/>
  <c r="R9" i="4"/>
  <c r="T12" i="3"/>
  <c r="R12" i="3"/>
  <c r="K13" i="3"/>
  <c r="L13" i="3"/>
  <c r="P13" i="3" s="1"/>
  <c r="H14" i="3"/>
  <c r="I14" i="3" s="1"/>
  <c r="E15" i="3" s="1"/>
  <c r="S9" i="5"/>
  <c r="L10" i="5" s="1"/>
  <c r="V9" i="5"/>
  <c r="W9" i="5" s="1"/>
  <c r="U9" i="5"/>
  <c r="H15" i="5"/>
  <c r="I15" i="5" s="1"/>
  <c r="Z8" i="4"/>
  <c r="F15" i="4" l="1"/>
  <c r="G15" i="4" s="1"/>
  <c r="Q9" i="4"/>
  <c r="J10" i="4" s="1"/>
  <c r="S9" i="4"/>
  <c r="T9" i="4"/>
  <c r="W9" i="4" s="1"/>
  <c r="M13" i="3"/>
  <c r="N13" i="3"/>
  <c r="O13" i="3"/>
  <c r="Q13" i="3" s="1"/>
  <c r="S13" i="3" s="1"/>
  <c r="J14" i="3"/>
  <c r="F15" i="3"/>
  <c r="G15" i="3" s="1"/>
  <c r="M10" i="5"/>
  <c r="N10" i="5" s="1"/>
  <c r="O10" i="5" s="1"/>
  <c r="AB9" i="5"/>
  <c r="J15" i="5"/>
  <c r="K15" i="5" s="1"/>
  <c r="G16" i="5" s="1"/>
  <c r="Z9" i="5"/>
  <c r="AE9" i="5" s="1"/>
  <c r="Y9" i="5"/>
  <c r="U9" i="4" l="1"/>
  <c r="V9" i="4"/>
  <c r="X9" i="4" s="1"/>
  <c r="Z9" i="4" s="1"/>
  <c r="H15" i="4"/>
  <c r="I15" i="4" s="1"/>
  <c r="E16" i="4" s="1"/>
  <c r="K10" i="4"/>
  <c r="L10" i="4" s="1"/>
  <c r="M10" i="4" s="1"/>
  <c r="T13" i="3"/>
  <c r="R13" i="3"/>
  <c r="K14" i="3"/>
  <c r="L14" i="3"/>
  <c r="P14" i="3" s="1"/>
  <c r="H15" i="3"/>
  <c r="I15" i="3" s="1"/>
  <c r="E16" i="3" s="1"/>
  <c r="P10" i="5"/>
  <c r="H16" i="5"/>
  <c r="I16" i="5" s="1"/>
  <c r="AD9" i="5"/>
  <c r="AA9" i="5"/>
  <c r="AA9" i="4" l="1"/>
  <c r="Y9" i="4"/>
  <c r="F16" i="4"/>
  <c r="G16" i="4" s="1"/>
  <c r="N10" i="4"/>
  <c r="M14" i="3"/>
  <c r="O14" i="3"/>
  <c r="Q14" i="3" s="1"/>
  <c r="S14" i="3" s="1"/>
  <c r="N14" i="3"/>
  <c r="J15" i="3"/>
  <c r="F16" i="3"/>
  <c r="G16" i="3" s="1"/>
  <c r="Q10" i="5"/>
  <c r="R10" i="5"/>
  <c r="T10" i="5"/>
  <c r="J16" i="5"/>
  <c r="K16" i="5" s="1"/>
  <c r="G17" i="5" s="1"/>
  <c r="H16" i="4" l="1"/>
  <c r="I16" i="4" s="1"/>
  <c r="E17" i="4" s="1"/>
  <c r="O10" i="4"/>
  <c r="P10" i="4"/>
  <c r="R10" i="4"/>
  <c r="R14" i="3"/>
  <c r="T14" i="3"/>
  <c r="L15" i="3"/>
  <c r="P15" i="3" s="1"/>
  <c r="K15" i="3"/>
  <c r="H16" i="3"/>
  <c r="I16" i="3" s="1"/>
  <c r="E17" i="3" s="1"/>
  <c r="S10" i="5"/>
  <c r="L11" i="5" s="1"/>
  <c r="V10" i="5"/>
  <c r="W10" i="5" s="1"/>
  <c r="U10" i="5"/>
  <c r="H17" i="5"/>
  <c r="I17" i="5" s="1"/>
  <c r="F17" i="4" l="1"/>
  <c r="G17" i="4" s="1"/>
  <c r="Q10" i="4"/>
  <c r="J11" i="4" s="1"/>
  <c r="S10" i="4"/>
  <c r="T10" i="4"/>
  <c r="W10" i="4" s="1"/>
  <c r="M15" i="3"/>
  <c r="N15" i="3"/>
  <c r="O15" i="3"/>
  <c r="Q15" i="3" s="1"/>
  <c r="S15" i="3" s="1"/>
  <c r="J16" i="3"/>
  <c r="F17" i="3"/>
  <c r="G17" i="3" s="1"/>
  <c r="M11" i="5"/>
  <c r="N11" i="5" s="1"/>
  <c r="O11" i="5" s="1"/>
  <c r="AB10" i="5"/>
  <c r="J17" i="5"/>
  <c r="K17" i="5" s="1"/>
  <c r="G18" i="5" s="1"/>
  <c r="Z10" i="5"/>
  <c r="AE10" i="5" s="1"/>
  <c r="Y10" i="5"/>
  <c r="H17" i="4" l="1"/>
  <c r="I17" i="4" s="1"/>
  <c r="E18" i="4" s="1"/>
  <c r="K11" i="4"/>
  <c r="L11" i="4" s="1"/>
  <c r="M11" i="4" s="1"/>
  <c r="T15" i="3"/>
  <c r="R15" i="3"/>
  <c r="L16" i="3"/>
  <c r="P16" i="3" s="1"/>
  <c r="K16" i="3"/>
  <c r="H17" i="3"/>
  <c r="I17" i="3" s="1"/>
  <c r="E18" i="3" s="1"/>
  <c r="P11" i="5"/>
  <c r="H18" i="5"/>
  <c r="I18" i="5" s="1"/>
  <c r="V10" i="4"/>
  <c r="X10" i="4" s="1"/>
  <c r="Z10" i="4" s="1"/>
  <c r="U10" i="4"/>
  <c r="AD10" i="5"/>
  <c r="AA10" i="5"/>
  <c r="F18" i="4" l="1"/>
  <c r="G18" i="4" s="1"/>
  <c r="N11" i="4"/>
  <c r="M16" i="3"/>
  <c r="N16" i="3"/>
  <c r="O16" i="3"/>
  <c r="Q16" i="3" s="1"/>
  <c r="S16" i="3" s="1"/>
  <c r="J17" i="3"/>
  <c r="F18" i="3"/>
  <c r="G18" i="3" s="1"/>
  <c r="R11" i="5"/>
  <c r="Q11" i="5"/>
  <c r="T11" i="5"/>
  <c r="J18" i="5"/>
  <c r="K18" i="5" s="1"/>
  <c r="G19" i="5" s="1"/>
  <c r="Y10" i="4"/>
  <c r="AA10" i="4"/>
  <c r="H18" i="4" l="1"/>
  <c r="I18" i="4" s="1"/>
  <c r="E19" i="4" s="1"/>
  <c r="O11" i="4"/>
  <c r="P11" i="4"/>
  <c r="R11" i="4"/>
  <c r="T16" i="3"/>
  <c r="R16" i="3"/>
  <c r="L17" i="3"/>
  <c r="P17" i="3" s="1"/>
  <c r="K17" i="3"/>
  <c r="H18" i="3"/>
  <c r="I18" i="3" s="1"/>
  <c r="E19" i="3" s="1"/>
  <c r="S11" i="5"/>
  <c r="L12" i="5" s="1"/>
  <c r="V11" i="5"/>
  <c r="W11" i="5" s="1"/>
  <c r="U11" i="5"/>
  <c r="H19" i="5"/>
  <c r="I19" i="5" s="1"/>
  <c r="Z11" i="5" l="1"/>
  <c r="AE11" i="5" s="1"/>
  <c r="Y11" i="5"/>
  <c r="F19" i="4"/>
  <c r="G19" i="4" s="1"/>
  <c r="Q11" i="4"/>
  <c r="J12" i="4" s="1"/>
  <c r="S11" i="4"/>
  <c r="T11" i="4"/>
  <c r="W11" i="4" s="1"/>
  <c r="M17" i="3"/>
  <c r="N17" i="3"/>
  <c r="O17" i="3"/>
  <c r="Q17" i="3" s="1"/>
  <c r="S17" i="3" s="1"/>
  <c r="J18" i="3"/>
  <c r="F19" i="3"/>
  <c r="G19" i="3" s="1"/>
  <c r="M12" i="5"/>
  <c r="N12" i="5" s="1"/>
  <c r="O12" i="5" s="1"/>
  <c r="AB11" i="5"/>
  <c r="J19" i="5"/>
  <c r="K19" i="5" s="1"/>
  <c r="G20" i="5" s="1"/>
  <c r="AD11" i="5" l="1"/>
  <c r="AA11" i="5"/>
  <c r="H19" i="4"/>
  <c r="I19" i="4" s="1"/>
  <c r="E20" i="4" s="1"/>
  <c r="K12" i="4"/>
  <c r="L12" i="4" s="1"/>
  <c r="M12" i="4" s="1"/>
  <c r="T17" i="3"/>
  <c r="R17" i="3"/>
  <c r="L18" i="3"/>
  <c r="P18" i="3" s="1"/>
  <c r="K18" i="3"/>
  <c r="H19" i="3"/>
  <c r="I19" i="3" s="1"/>
  <c r="E20" i="3" s="1"/>
  <c r="P12" i="5"/>
  <c r="H20" i="5"/>
  <c r="I20" i="5" s="1"/>
  <c r="U11" i="4"/>
  <c r="V11" i="4"/>
  <c r="X11" i="4" s="1"/>
  <c r="Z11" i="4" s="1"/>
  <c r="F20" i="4" l="1"/>
  <c r="G20" i="4" s="1"/>
  <c r="N12" i="4"/>
  <c r="M18" i="3"/>
  <c r="N18" i="3"/>
  <c r="O18" i="3"/>
  <c r="Q18" i="3" s="1"/>
  <c r="S18" i="3" s="1"/>
  <c r="J19" i="3"/>
  <c r="F20" i="3"/>
  <c r="G20" i="3" s="1"/>
  <c r="R12" i="5"/>
  <c r="Q12" i="5"/>
  <c r="T12" i="5"/>
  <c r="J20" i="5"/>
  <c r="K20" i="5" s="1"/>
  <c r="G21" i="5" s="1"/>
  <c r="Y11" i="4"/>
  <c r="AA11" i="4"/>
  <c r="H20" i="4" l="1"/>
  <c r="I20" i="4" s="1"/>
  <c r="E21" i="4" s="1"/>
  <c r="O12" i="4"/>
  <c r="P12" i="4"/>
  <c r="R12" i="4"/>
  <c r="T18" i="3"/>
  <c r="R18" i="3"/>
  <c r="L19" i="3"/>
  <c r="P19" i="3" s="1"/>
  <c r="K19" i="3"/>
  <c r="H20" i="3"/>
  <c r="I20" i="3" s="1"/>
  <c r="E21" i="3" s="1"/>
  <c r="S12" i="5"/>
  <c r="L13" i="5" s="1"/>
  <c r="V12" i="5"/>
  <c r="W12" i="5" s="1"/>
  <c r="U12" i="5"/>
  <c r="H21" i="5"/>
  <c r="I21" i="5" s="1"/>
  <c r="F21" i="4" l="1"/>
  <c r="G21" i="4" s="1"/>
  <c r="Q12" i="4"/>
  <c r="J13" i="4" s="1"/>
  <c r="S12" i="4"/>
  <c r="T12" i="4"/>
  <c r="W12" i="4" s="1"/>
  <c r="M19" i="3"/>
  <c r="N19" i="3"/>
  <c r="O19" i="3"/>
  <c r="Q19" i="3" s="1"/>
  <c r="S19" i="3" s="1"/>
  <c r="J20" i="3"/>
  <c r="F21" i="3"/>
  <c r="G21" i="3" s="1"/>
  <c r="M13" i="5"/>
  <c r="N13" i="5" s="1"/>
  <c r="O13" i="5" s="1"/>
  <c r="AB12" i="5"/>
  <c r="J21" i="5"/>
  <c r="K21" i="5" s="1"/>
  <c r="G22" i="5" s="1"/>
  <c r="Y12" i="5"/>
  <c r="Z12" i="5"/>
  <c r="AE12" i="5" s="1"/>
  <c r="H21" i="4" l="1"/>
  <c r="I21" i="4" s="1"/>
  <c r="E22" i="4" s="1"/>
  <c r="K13" i="4"/>
  <c r="L13" i="4" s="1"/>
  <c r="M13" i="4" s="1"/>
  <c r="T19" i="3"/>
  <c r="R19" i="3"/>
  <c r="K20" i="3"/>
  <c r="L20" i="3"/>
  <c r="P20" i="3" s="1"/>
  <c r="H21" i="3"/>
  <c r="I21" i="3" s="1"/>
  <c r="E22" i="3" s="1"/>
  <c r="P13" i="5"/>
  <c r="H22" i="5"/>
  <c r="I22" i="5" s="1"/>
  <c r="U12" i="4"/>
  <c r="V12" i="4"/>
  <c r="X12" i="4" s="1"/>
  <c r="Z12" i="4" s="1"/>
  <c r="AD12" i="5"/>
  <c r="AA12" i="5"/>
  <c r="F22" i="4" l="1"/>
  <c r="G22" i="4" s="1"/>
  <c r="N13" i="4"/>
  <c r="M20" i="3"/>
  <c r="O20" i="3"/>
  <c r="Q20" i="3" s="1"/>
  <c r="S20" i="3" s="1"/>
  <c r="N20" i="3"/>
  <c r="J21" i="3"/>
  <c r="F22" i="3"/>
  <c r="G22" i="3" s="1"/>
  <c r="R13" i="5"/>
  <c r="Q13" i="5"/>
  <c r="T13" i="5"/>
  <c r="J22" i="5"/>
  <c r="K22" i="5" s="1"/>
  <c r="G23" i="5" s="1"/>
  <c r="Y12" i="4"/>
  <c r="AA12" i="4"/>
  <c r="H22" i="4" l="1"/>
  <c r="I22" i="4" s="1"/>
  <c r="E23" i="4" s="1"/>
  <c r="O13" i="4"/>
  <c r="P13" i="4"/>
  <c r="R13" i="4"/>
  <c r="T20" i="3"/>
  <c r="R20" i="3"/>
  <c r="L21" i="3"/>
  <c r="P21" i="3" s="1"/>
  <c r="K21" i="3"/>
  <c r="H22" i="3"/>
  <c r="I22" i="3" s="1"/>
  <c r="E23" i="3" s="1"/>
  <c r="S13" i="5"/>
  <c r="L14" i="5" s="1"/>
  <c r="V13" i="5"/>
  <c r="W13" i="5" s="1"/>
  <c r="U13" i="5"/>
  <c r="H23" i="5"/>
  <c r="I23" i="5" s="1"/>
  <c r="Z13" i="5" l="1"/>
  <c r="AE13" i="5" s="1"/>
  <c r="Y13" i="5"/>
  <c r="F23" i="4"/>
  <c r="G23" i="4" s="1"/>
  <c r="Q13" i="4"/>
  <c r="J14" i="4" s="1"/>
  <c r="S13" i="4"/>
  <c r="T13" i="4"/>
  <c r="W13" i="4" s="1"/>
  <c r="N21" i="3"/>
  <c r="O21" i="3"/>
  <c r="Q21" i="3" s="1"/>
  <c r="S21" i="3" s="1"/>
  <c r="M21" i="3"/>
  <c r="J22" i="3"/>
  <c r="F23" i="3"/>
  <c r="G23" i="3" s="1"/>
  <c r="M14" i="5"/>
  <c r="N14" i="5" s="1"/>
  <c r="O14" i="5" s="1"/>
  <c r="AB13" i="5"/>
  <c r="J23" i="5"/>
  <c r="K23" i="5" s="1"/>
  <c r="G24" i="5" s="1"/>
  <c r="AD13" i="5" l="1"/>
  <c r="AA13" i="5"/>
  <c r="H23" i="4"/>
  <c r="I23" i="4" s="1"/>
  <c r="E24" i="4" s="1"/>
  <c r="K14" i="4"/>
  <c r="L14" i="4" s="1"/>
  <c r="M14" i="4" s="1"/>
  <c r="T21" i="3"/>
  <c r="R21" i="3"/>
  <c r="L22" i="3"/>
  <c r="P22" i="3" s="1"/>
  <c r="K22" i="3"/>
  <c r="H23" i="3"/>
  <c r="I23" i="3" s="1"/>
  <c r="E24" i="3" s="1"/>
  <c r="P14" i="5"/>
  <c r="H24" i="5"/>
  <c r="I24" i="5" s="1"/>
  <c r="U13" i="4"/>
  <c r="V13" i="4"/>
  <c r="X13" i="4" s="1"/>
  <c r="Z13" i="4" s="1"/>
  <c r="F24" i="4" l="1"/>
  <c r="G24" i="4" s="1"/>
  <c r="N14" i="4"/>
  <c r="M22" i="3"/>
  <c r="N22" i="3"/>
  <c r="O22" i="3"/>
  <c r="Q22" i="3" s="1"/>
  <c r="S22" i="3" s="1"/>
  <c r="J23" i="3"/>
  <c r="F24" i="3"/>
  <c r="G24" i="3" s="1"/>
  <c r="R14" i="5"/>
  <c r="Q14" i="5"/>
  <c r="T14" i="5"/>
  <c r="J24" i="5"/>
  <c r="K24" i="5" s="1"/>
  <c r="G25" i="5" s="1"/>
  <c r="Y13" i="4"/>
  <c r="AA13" i="4"/>
  <c r="H24" i="4" l="1"/>
  <c r="I24" i="4" s="1"/>
  <c r="E25" i="4" s="1"/>
  <c r="O14" i="4"/>
  <c r="P14" i="4"/>
  <c r="R14" i="4"/>
  <c r="T22" i="3"/>
  <c r="R22" i="3"/>
  <c r="L23" i="3"/>
  <c r="P23" i="3" s="1"/>
  <c r="K23" i="3"/>
  <c r="H24" i="3"/>
  <c r="I24" i="3" s="1"/>
  <c r="E25" i="3" s="1"/>
  <c r="S14" i="5"/>
  <c r="L15" i="5" s="1"/>
  <c r="U14" i="5"/>
  <c r="V14" i="5"/>
  <c r="W14" i="5" s="1"/>
  <c r="H25" i="5"/>
  <c r="I25" i="5" s="1"/>
  <c r="F25" i="4" l="1"/>
  <c r="G25" i="4" s="1"/>
  <c r="Q14" i="4"/>
  <c r="J15" i="4" s="1"/>
  <c r="S14" i="4"/>
  <c r="T14" i="4"/>
  <c r="W14" i="4" s="1"/>
  <c r="M23" i="3"/>
  <c r="N23" i="3"/>
  <c r="O23" i="3"/>
  <c r="Q23" i="3" s="1"/>
  <c r="S23" i="3" s="1"/>
  <c r="J24" i="3"/>
  <c r="F25" i="3"/>
  <c r="G25" i="3" s="1"/>
  <c r="M15" i="5"/>
  <c r="N15" i="5" s="1"/>
  <c r="O15" i="5" s="1"/>
  <c r="AB14" i="5"/>
  <c r="J25" i="5"/>
  <c r="K25" i="5" s="1"/>
  <c r="G26" i="5" s="1"/>
  <c r="Y14" i="5"/>
  <c r="Z14" i="5"/>
  <c r="AE14" i="5" s="1"/>
  <c r="H25" i="4" l="1"/>
  <c r="I25" i="4" s="1"/>
  <c r="E26" i="4" s="1"/>
  <c r="K15" i="4"/>
  <c r="L15" i="4" s="1"/>
  <c r="M15" i="4" s="1"/>
  <c r="T23" i="3"/>
  <c r="R23" i="3"/>
  <c r="L24" i="3"/>
  <c r="P24" i="3" s="1"/>
  <c r="K24" i="3"/>
  <c r="H25" i="3"/>
  <c r="I25" i="3" s="1"/>
  <c r="E26" i="3" s="1"/>
  <c r="P15" i="5"/>
  <c r="H26" i="5"/>
  <c r="I26" i="5" s="1"/>
  <c r="U14" i="4"/>
  <c r="V14" i="4"/>
  <c r="X14" i="4" s="1"/>
  <c r="Z14" i="4" s="1"/>
  <c r="AD14" i="5"/>
  <c r="AA14" i="5"/>
  <c r="F26" i="4" l="1"/>
  <c r="G26" i="4" s="1"/>
  <c r="N15" i="4"/>
  <c r="M24" i="3"/>
  <c r="O24" i="3"/>
  <c r="Q24" i="3" s="1"/>
  <c r="S24" i="3" s="1"/>
  <c r="N24" i="3"/>
  <c r="J25" i="3"/>
  <c r="F26" i="3"/>
  <c r="G26" i="3" s="1"/>
  <c r="R15" i="5"/>
  <c r="Q15" i="5"/>
  <c r="T15" i="5"/>
  <c r="J26" i="5"/>
  <c r="K26" i="5" s="1"/>
  <c r="G27" i="5" s="1"/>
  <c r="Y14" i="4"/>
  <c r="AA14" i="4"/>
  <c r="H26" i="4" l="1"/>
  <c r="I26" i="4" s="1"/>
  <c r="E27" i="4" s="1"/>
  <c r="O15" i="4"/>
  <c r="P15" i="4"/>
  <c r="R15" i="4"/>
  <c r="T24" i="3"/>
  <c r="R24" i="3"/>
  <c r="L25" i="3"/>
  <c r="P25" i="3" s="1"/>
  <c r="K25" i="3"/>
  <c r="H26" i="3"/>
  <c r="I26" i="3" s="1"/>
  <c r="E27" i="3" s="1"/>
  <c r="S15" i="5"/>
  <c r="L16" i="5" s="1"/>
  <c r="U15" i="5"/>
  <c r="V15" i="5"/>
  <c r="W15" i="5" s="1"/>
  <c r="H27" i="5"/>
  <c r="I27" i="5" s="1"/>
  <c r="Y15" i="5" l="1"/>
  <c r="AD15" i="5" s="1"/>
  <c r="Z15" i="5"/>
  <c r="F27" i="4"/>
  <c r="G27" i="4" s="1"/>
  <c r="Q15" i="4"/>
  <c r="J16" i="4" s="1"/>
  <c r="S15" i="4"/>
  <c r="T15" i="4"/>
  <c r="W15" i="4" s="1"/>
  <c r="M25" i="3"/>
  <c r="N25" i="3"/>
  <c r="O25" i="3"/>
  <c r="Q25" i="3" s="1"/>
  <c r="S25" i="3" s="1"/>
  <c r="J26" i="3"/>
  <c r="F27" i="3"/>
  <c r="G27" i="3" s="1"/>
  <c r="M16" i="5"/>
  <c r="N16" i="5" s="1"/>
  <c r="O16" i="5" s="1"/>
  <c r="AB15" i="5"/>
  <c r="J27" i="5"/>
  <c r="K27" i="5" s="1"/>
  <c r="G28" i="5" s="1"/>
  <c r="AE15" i="5" l="1"/>
  <c r="AA15" i="5"/>
  <c r="H27" i="4"/>
  <c r="I27" i="4" s="1"/>
  <c r="E28" i="4" s="1"/>
  <c r="K16" i="4"/>
  <c r="L16" i="4" s="1"/>
  <c r="M16" i="4" s="1"/>
  <c r="T25" i="3"/>
  <c r="R25" i="3"/>
  <c r="L26" i="3"/>
  <c r="P26" i="3" s="1"/>
  <c r="K26" i="3"/>
  <c r="H27" i="3"/>
  <c r="I27" i="3" s="1"/>
  <c r="E28" i="3" s="1"/>
  <c r="P16" i="5"/>
  <c r="H28" i="5"/>
  <c r="I28" i="5" s="1"/>
  <c r="U15" i="4"/>
  <c r="V15" i="4"/>
  <c r="X15" i="4" s="1"/>
  <c r="Z15" i="4" s="1"/>
  <c r="F28" i="4" l="1"/>
  <c r="G28" i="4" s="1"/>
  <c r="N16" i="4"/>
  <c r="M26" i="3"/>
  <c r="N26" i="3"/>
  <c r="O26" i="3"/>
  <c r="Q26" i="3" s="1"/>
  <c r="S26" i="3" s="1"/>
  <c r="J27" i="3"/>
  <c r="F28" i="3"/>
  <c r="G28" i="3" s="1"/>
  <c r="Q16" i="5"/>
  <c r="R16" i="5"/>
  <c r="T16" i="5"/>
  <c r="J28" i="5"/>
  <c r="K28" i="5" s="1"/>
  <c r="G29" i="5" s="1"/>
  <c r="Y15" i="4"/>
  <c r="AA15" i="4"/>
  <c r="H28" i="4" l="1"/>
  <c r="I28" i="4" s="1"/>
  <c r="E29" i="4" s="1"/>
  <c r="O16" i="4"/>
  <c r="P16" i="4"/>
  <c r="R16" i="4"/>
  <c r="T26" i="3"/>
  <c r="R26" i="3"/>
  <c r="L27" i="3"/>
  <c r="P27" i="3" s="1"/>
  <c r="K27" i="3"/>
  <c r="H28" i="3"/>
  <c r="I28" i="3" s="1"/>
  <c r="E29" i="3" s="1"/>
  <c r="S16" i="5"/>
  <c r="L17" i="5" s="1"/>
  <c r="U16" i="5"/>
  <c r="V16" i="5"/>
  <c r="W16" i="5" s="1"/>
  <c r="H29" i="5"/>
  <c r="I29" i="5" s="1"/>
  <c r="Y16" i="5" l="1"/>
  <c r="AD16" i="5" s="1"/>
  <c r="Z16" i="5"/>
  <c r="F29" i="4"/>
  <c r="G29" i="4" s="1"/>
  <c r="Q16" i="4"/>
  <c r="J17" i="4" s="1"/>
  <c r="S16" i="4"/>
  <c r="T16" i="4"/>
  <c r="W16" i="4" s="1"/>
  <c r="M27" i="3"/>
  <c r="N27" i="3"/>
  <c r="O27" i="3"/>
  <c r="Q27" i="3" s="1"/>
  <c r="S27" i="3" s="1"/>
  <c r="J28" i="3"/>
  <c r="F29" i="3"/>
  <c r="G29" i="3" s="1"/>
  <c r="M17" i="5"/>
  <c r="N17" i="5" s="1"/>
  <c r="O17" i="5" s="1"/>
  <c r="AB16" i="5"/>
  <c r="J29" i="5"/>
  <c r="K29" i="5" s="1"/>
  <c r="G30" i="5" s="1"/>
  <c r="AE16" i="5" l="1"/>
  <c r="AA16" i="5"/>
  <c r="H29" i="4"/>
  <c r="I29" i="4" s="1"/>
  <c r="E30" i="4" s="1"/>
  <c r="K17" i="4"/>
  <c r="L17" i="4" s="1"/>
  <c r="M17" i="4" s="1"/>
  <c r="T27" i="3"/>
  <c r="R27" i="3"/>
  <c r="L28" i="3"/>
  <c r="P28" i="3" s="1"/>
  <c r="K28" i="3"/>
  <c r="H29" i="3"/>
  <c r="I29" i="3" s="1"/>
  <c r="E30" i="3" s="1"/>
  <c r="P17" i="5"/>
  <c r="H30" i="5"/>
  <c r="I30" i="5" s="1"/>
  <c r="V16" i="4"/>
  <c r="X16" i="4" s="1"/>
  <c r="Z16" i="4" s="1"/>
  <c r="U16" i="4"/>
  <c r="F30" i="4" l="1"/>
  <c r="G30" i="4" s="1"/>
  <c r="N17" i="4"/>
  <c r="M28" i="3"/>
  <c r="N28" i="3"/>
  <c r="O28" i="3"/>
  <c r="Q28" i="3" s="1"/>
  <c r="S28" i="3" s="1"/>
  <c r="J29" i="3"/>
  <c r="F30" i="3"/>
  <c r="G30" i="3" s="1"/>
  <c r="R17" i="5"/>
  <c r="Q17" i="5"/>
  <c r="T17" i="5"/>
  <c r="J30" i="5"/>
  <c r="K30" i="5" s="1"/>
  <c r="G31" i="5" s="1"/>
  <c r="Y16" i="4"/>
  <c r="AA16" i="4"/>
  <c r="H30" i="4" l="1"/>
  <c r="I30" i="4" s="1"/>
  <c r="E31" i="4" s="1"/>
  <c r="O17" i="4"/>
  <c r="P17" i="4"/>
  <c r="R17" i="4"/>
  <c r="T28" i="3"/>
  <c r="R28" i="3"/>
  <c r="L29" i="3"/>
  <c r="P29" i="3" s="1"/>
  <c r="K29" i="3"/>
  <c r="H30" i="3"/>
  <c r="I30" i="3" s="1"/>
  <c r="E31" i="3" s="1"/>
  <c r="S17" i="5"/>
  <c r="L18" i="5" s="1"/>
  <c r="U17" i="5"/>
  <c r="V17" i="5"/>
  <c r="W17" i="5" s="1"/>
  <c r="H31" i="5"/>
  <c r="I31" i="5" s="1"/>
  <c r="Z17" i="5" l="1"/>
  <c r="AE17" i="5" s="1"/>
  <c r="Y17" i="5"/>
  <c r="F31" i="4"/>
  <c r="G31" i="4" s="1"/>
  <c r="Q17" i="4"/>
  <c r="J18" i="4" s="1"/>
  <c r="S17" i="4"/>
  <c r="T17" i="4"/>
  <c r="W17" i="4" s="1"/>
  <c r="N29" i="3"/>
  <c r="M29" i="3"/>
  <c r="O29" i="3"/>
  <c r="Q29" i="3" s="1"/>
  <c r="S29" i="3" s="1"/>
  <c r="J30" i="3"/>
  <c r="F31" i="3"/>
  <c r="G31" i="3" s="1"/>
  <c r="M18" i="5"/>
  <c r="N18" i="5" s="1"/>
  <c r="O18" i="5" s="1"/>
  <c r="AB17" i="5"/>
  <c r="J31" i="5"/>
  <c r="K31" i="5" s="1"/>
  <c r="G32" i="5" s="1"/>
  <c r="AD17" i="5" l="1"/>
  <c r="AA17" i="5"/>
  <c r="H31" i="4"/>
  <c r="I31" i="4" s="1"/>
  <c r="E32" i="4" s="1"/>
  <c r="K18" i="4"/>
  <c r="L18" i="4" s="1"/>
  <c r="M18" i="4" s="1"/>
  <c r="R29" i="3"/>
  <c r="T29" i="3"/>
  <c r="L30" i="3"/>
  <c r="P30" i="3" s="1"/>
  <c r="K30" i="3"/>
  <c r="H31" i="3"/>
  <c r="I31" i="3" s="1"/>
  <c r="E32" i="3" s="1"/>
  <c r="P18" i="5"/>
  <c r="H32" i="5"/>
  <c r="I32" i="5" s="1"/>
  <c r="U17" i="4"/>
  <c r="V17" i="4"/>
  <c r="X17" i="4" s="1"/>
  <c r="Z17" i="4" s="1"/>
  <c r="F32" i="4" l="1"/>
  <c r="G32" i="4" s="1"/>
  <c r="N18" i="4"/>
  <c r="M30" i="3"/>
  <c r="O30" i="3"/>
  <c r="Q30" i="3" s="1"/>
  <c r="S30" i="3" s="1"/>
  <c r="N30" i="3"/>
  <c r="J31" i="3"/>
  <c r="F32" i="3"/>
  <c r="G32" i="3" s="1"/>
  <c r="R18" i="5"/>
  <c r="Q18" i="5"/>
  <c r="T18" i="5"/>
  <c r="J32" i="5"/>
  <c r="K32" i="5" s="1"/>
  <c r="G33" i="5" s="1"/>
  <c r="Y17" i="4"/>
  <c r="AA17" i="4"/>
  <c r="H32" i="4" l="1"/>
  <c r="I32" i="4" s="1"/>
  <c r="E33" i="4" s="1"/>
  <c r="O18" i="4"/>
  <c r="P18" i="4"/>
  <c r="R18" i="4"/>
  <c r="R30" i="3"/>
  <c r="T30" i="3"/>
  <c r="K31" i="3"/>
  <c r="L31" i="3"/>
  <c r="P31" i="3" s="1"/>
  <c r="H32" i="3"/>
  <c r="I32" i="3" s="1"/>
  <c r="E33" i="3" s="1"/>
  <c r="S18" i="5"/>
  <c r="L19" i="5" s="1"/>
  <c r="V18" i="5"/>
  <c r="W18" i="5" s="1"/>
  <c r="U18" i="5"/>
  <c r="H33" i="5"/>
  <c r="I33" i="5" s="1"/>
  <c r="Y18" i="5" l="1"/>
  <c r="AD18" i="5" s="1"/>
  <c r="Z18" i="5"/>
  <c r="F33" i="4"/>
  <c r="G33" i="4" s="1"/>
  <c r="Q18" i="4"/>
  <c r="J19" i="4" s="1"/>
  <c r="S18" i="4"/>
  <c r="T18" i="4"/>
  <c r="W18" i="4" s="1"/>
  <c r="M31" i="3"/>
  <c r="N31" i="3"/>
  <c r="O31" i="3"/>
  <c r="Q31" i="3" s="1"/>
  <c r="S31" i="3" s="1"/>
  <c r="J32" i="3"/>
  <c r="F33" i="3"/>
  <c r="G33" i="3" s="1"/>
  <c r="M19" i="5"/>
  <c r="N19" i="5" s="1"/>
  <c r="O19" i="5" s="1"/>
  <c r="AB18" i="5"/>
  <c r="J33" i="5"/>
  <c r="K33" i="5" s="1"/>
  <c r="G34" i="5" s="1"/>
  <c r="AE18" i="5" l="1"/>
  <c r="AA18" i="5"/>
  <c r="H33" i="4"/>
  <c r="I33" i="4" s="1"/>
  <c r="E34" i="4" s="1"/>
  <c r="K19" i="4"/>
  <c r="L19" i="4" s="1"/>
  <c r="M19" i="4" s="1"/>
  <c r="T31" i="3"/>
  <c r="R31" i="3"/>
  <c r="K32" i="3"/>
  <c r="L32" i="3"/>
  <c r="P32" i="3" s="1"/>
  <c r="H33" i="3"/>
  <c r="I33" i="3" s="1"/>
  <c r="E34" i="3" s="1"/>
  <c r="P19" i="5"/>
  <c r="H34" i="5"/>
  <c r="I34" i="5" s="1"/>
  <c r="U18" i="4"/>
  <c r="V18" i="4"/>
  <c r="X18" i="4" s="1"/>
  <c r="Z18" i="4" s="1"/>
  <c r="F34" i="4" l="1"/>
  <c r="G34" i="4" s="1"/>
  <c r="N19" i="4"/>
  <c r="M32" i="3"/>
  <c r="N32" i="3"/>
  <c r="O32" i="3"/>
  <c r="Q32" i="3" s="1"/>
  <c r="S32" i="3" s="1"/>
  <c r="J33" i="3"/>
  <c r="F34" i="3"/>
  <c r="G34" i="3" s="1"/>
  <c r="R19" i="5"/>
  <c r="Q19" i="5"/>
  <c r="T19" i="5"/>
  <c r="J34" i="5"/>
  <c r="K34" i="5" s="1"/>
  <c r="G35" i="5" s="1"/>
  <c r="Y18" i="4"/>
  <c r="AA18" i="4"/>
  <c r="H34" i="4" l="1"/>
  <c r="I34" i="4" s="1"/>
  <c r="E35" i="4" s="1"/>
  <c r="O19" i="4"/>
  <c r="P19" i="4"/>
  <c r="R19" i="4"/>
  <c r="R32" i="3"/>
  <c r="T32" i="3"/>
  <c r="L33" i="3"/>
  <c r="P33" i="3" s="1"/>
  <c r="K33" i="3"/>
  <c r="H34" i="3"/>
  <c r="I34" i="3" s="1"/>
  <c r="E35" i="3" s="1"/>
  <c r="S19" i="5"/>
  <c r="L20" i="5" s="1"/>
  <c r="V19" i="5"/>
  <c r="W19" i="5" s="1"/>
  <c r="U19" i="5"/>
  <c r="H35" i="5"/>
  <c r="I35" i="5" s="1"/>
  <c r="F35" i="4" l="1"/>
  <c r="G35" i="4" s="1"/>
  <c r="Q19" i="4"/>
  <c r="J20" i="4" s="1"/>
  <c r="S19" i="4"/>
  <c r="T19" i="4"/>
  <c r="W19" i="4" s="1"/>
  <c r="M33" i="3"/>
  <c r="N33" i="3"/>
  <c r="O33" i="3"/>
  <c r="Q33" i="3" s="1"/>
  <c r="S33" i="3" s="1"/>
  <c r="J34" i="3"/>
  <c r="F35" i="3"/>
  <c r="G35" i="3" s="1"/>
  <c r="M20" i="5"/>
  <c r="N20" i="5" s="1"/>
  <c r="O20" i="5" s="1"/>
  <c r="AB19" i="5"/>
  <c r="J35" i="5"/>
  <c r="K35" i="5" s="1"/>
  <c r="G36" i="5" s="1"/>
  <c r="Z19" i="5"/>
  <c r="AE19" i="5" s="1"/>
  <c r="Y19" i="5"/>
  <c r="U19" i="4" l="1"/>
  <c r="V19" i="4"/>
  <c r="X19" i="4" s="1"/>
  <c r="Z19" i="4" s="1"/>
  <c r="H35" i="4"/>
  <c r="I35" i="4" s="1"/>
  <c r="E36" i="4" s="1"/>
  <c r="K20" i="4"/>
  <c r="L20" i="4" s="1"/>
  <c r="M20" i="4" s="1"/>
  <c r="T33" i="3"/>
  <c r="R33" i="3"/>
  <c r="K34" i="3"/>
  <c r="L34" i="3"/>
  <c r="P34" i="3" s="1"/>
  <c r="H35" i="3"/>
  <c r="I35" i="3" s="1"/>
  <c r="E36" i="3" s="1"/>
  <c r="P20" i="5"/>
  <c r="H36" i="5"/>
  <c r="I36" i="5" s="1"/>
  <c r="AD19" i="5"/>
  <c r="AA19" i="5"/>
  <c r="AA19" i="4" l="1"/>
  <c r="Y19" i="4"/>
  <c r="F36" i="4"/>
  <c r="G36" i="4" s="1"/>
  <c r="N20" i="4"/>
  <c r="M34" i="3"/>
  <c r="O34" i="3"/>
  <c r="Q34" i="3" s="1"/>
  <c r="S34" i="3" s="1"/>
  <c r="N34" i="3"/>
  <c r="J35" i="3"/>
  <c r="F36" i="3"/>
  <c r="G36" i="3" s="1"/>
  <c r="Q20" i="5"/>
  <c r="R20" i="5"/>
  <c r="T20" i="5"/>
  <c r="J36" i="5"/>
  <c r="K36" i="5" s="1"/>
  <c r="H36" i="4" l="1"/>
  <c r="I36" i="4" s="1"/>
  <c r="P20" i="4"/>
  <c r="O20" i="4"/>
  <c r="R20" i="4"/>
  <c r="R34" i="3"/>
  <c r="T34" i="3"/>
  <c r="L35" i="3"/>
  <c r="P35" i="3" s="1"/>
  <c r="K35" i="3"/>
  <c r="H36" i="3"/>
  <c r="I36" i="3" s="1"/>
  <c r="S20" i="5"/>
  <c r="L21" i="5" s="1"/>
  <c r="U20" i="5"/>
  <c r="V20" i="5"/>
  <c r="W20" i="5" s="1"/>
  <c r="J37" i="5"/>
  <c r="H37" i="4" l="1"/>
  <c r="Q20" i="4"/>
  <c r="J21" i="4" s="1"/>
  <c r="T20" i="4"/>
  <c r="W20" i="4" s="1"/>
  <c r="S20" i="4"/>
  <c r="O35" i="3"/>
  <c r="Q35" i="3" s="1"/>
  <c r="S35" i="3" s="1"/>
  <c r="M35" i="3"/>
  <c r="N35" i="3"/>
  <c r="H37" i="3"/>
  <c r="J36" i="3"/>
  <c r="M21" i="5"/>
  <c r="N21" i="5" s="1"/>
  <c r="O21" i="5" s="1"/>
  <c r="AB20" i="5"/>
  <c r="Z20" i="5"/>
  <c r="AE20" i="5" s="1"/>
  <c r="Y20" i="5"/>
  <c r="K21" i="4" l="1"/>
  <c r="L21" i="4" s="1"/>
  <c r="M21" i="4" s="1"/>
  <c r="R35" i="3"/>
  <c r="T35" i="3"/>
  <c r="J37" i="3"/>
  <c r="K36" i="3"/>
  <c r="L36" i="3"/>
  <c r="P21" i="5"/>
  <c r="V20" i="4"/>
  <c r="X20" i="4" s="1"/>
  <c r="Z20" i="4" s="1"/>
  <c r="U20" i="4"/>
  <c r="AD20" i="5"/>
  <c r="AA20" i="5"/>
  <c r="N21" i="4" l="1"/>
  <c r="M36" i="3"/>
  <c r="M37" i="3" s="1"/>
  <c r="N36" i="3"/>
  <c r="O36" i="3"/>
  <c r="K37" i="3"/>
  <c r="L37" i="3"/>
  <c r="P36" i="3"/>
  <c r="P37" i="3" s="1"/>
  <c r="R21" i="5"/>
  <c r="Q21" i="5"/>
  <c r="T21" i="5"/>
  <c r="Y20" i="4"/>
  <c r="AA20" i="4"/>
  <c r="O21" i="4" l="1"/>
  <c r="P21" i="4"/>
  <c r="R21" i="4"/>
  <c r="T36" i="3"/>
  <c r="D45" i="3" s="1"/>
  <c r="N37" i="3"/>
  <c r="D42" i="3"/>
  <c r="Q36" i="3"/>
  <c r="R36" i="3" s="1"/>
  <c r="R37" i="3" s="1"/>
  <c r="O37" i="3"/>
  <c r="S21" i="5"/>
  <c r="L22" i="5" s="1"/>
  <c r="V21" i="5"/>
  <c r="W21" i="5" s="1"/>
  <c r="U21" i="5"/>
  <c r="Q21" i="4" l="1"/>
  <c r="J22" i="4" s="1"/>
  <c r="S21" i="4"/>
  <c r="T21" i="4"/>
  <c r="W21" i="4" s="1"/>
  <c r="F7" i="6"/>
  <c r="E10" i="7"/>
  <c r="D43" i="3"/>
  <c r="F9" i="6" s="1"/>
  <c r="D44" i="3"/>
  <c r="C42" i="3"/>
  <c r="Q37" i="3"/>
  <c r="S36" i="3"/>
  <c r="C45" i="3" s="1"/>
  <c r="M22" i="5"/>
  <c r="N22" i="5" s="1"/>
  <c r="O22" i="5" s="1"/>
  <c r="AB21" i="5"/>
  <c r="Z21" i="5"/>
  <c r="AE21" i="5" s="1"/>
  <c r="Y21" i="5"/>
  <c r="V21" i="4" l="1"/>
  <c r="X21" i="4" s="1"/>
  <c r="Z21" i="4" s="1"/>
  <c r="U21" i="4"/>
  <c r="K22" i="4"/>
  <c r="L22" i="4" s="1"/>
  <c r="M22" i="4" s="1"/>
  <c r="F8" i="6"/>
  <c r="G10" i="7"/>
  <c r="C43" i="3"/>
  <c r="C9" i="6" s="1"/>
  <c r="C44" i="3"/>
  <c r="C47" i="3"/>
  <c r="D47" i="3" s="1"/>
  <c r="C7" i="6"/>
  <c r="D10" i="7"/>
  <c r="P22" i="5"/>
  <c r="AD21" i="5"/>
  <c r="AA21" i="5"/>
  <c r="AA21" i="4" l="1"/>
  <c r="Y21" i="4"/>
  <c r="N22" i="4"/>
  <c r="F10" i="7"/>
  <c r="C8" i="6"/>
  <c r="R22" i="5"/>
  <c r="Q22" i="5"/>
  <c r="T22" i="5"/>
  <c r="P22" i="4" l="1"/>
  <c r="O22" i="4"/>
  <c r="R22" i="4"/>
  <c r="S22" i="5"/>
  <c r="L23" i="5" s="1"/>
  <c r="V22" i="5"/>
  <c r="W22" i="5" s="1"/>
  <c r="U22" i="5"/>
  <c r="Y22" i="5" l="1"/>
  <c r="AD22" i="5" s="1"/>
  <c r="Z22" i="5"/>
  <c r="Q22" i="4"/>
  <c r="J23" i="4" s="1"/>
  <c r="T22" i="4"/>
  <c r="W22" i="4" s="1"/>
  <c r="S22" i="4"/>
  <c r="M23" i="5"/>
  <c r="N23" i="5" s="1"/>
  <c r="O23" i="5" s="1"/>
  <c r="AB22" i="5"/>
  <c r="AE22" i="5" l="1"/>
  <c r="AA22" i="5"/>
  <c r="U22" i="4"/>
  <c r="AA22" i="4" s="1"/>
  <c r="V22" i="4"/>
  <c r="X22" i="4" s="1"/>
  <c r="K23" i="4"/>
  <c r="L23" i="4" s="1"/>
  <c r="M23" i="4" s="1"/>
  <c r="P23" i="5"/>
  <c r="Z22" i="4" l="1"/>
  <c r="Y22" i="4"/>
  <c r="N23" i="4"/>
  <c r="R23" i="5"/>
  <c r="Q23" i="5"/>
  <c r="T23" i="5"/>
  <c r="O23" i="4" l="1"/>
  <c r="P23" i="4"/>
  <c r="R23" i="4"/>
  <c r="S23" i="5"/>
  <c r="L24" i="5" s="1"/>
  <c r="V23" i="5"/>
  <c r="W23" i="5" s="1"/>
  <c r="U23" i="5"/>
  <c r="Y23" i="5" l="1"/>
  <c r="Z23" i="5"/>
  <c r="AE23" i="5" s="1"/>
  <c r="Q23" i="4"/>
  <c r="J24" i="4" s="1"/>
  <c r="S23" i="4"/>
  <c r="T23" i="4"/>
  <c r="W23" i="4" s="1"/>
  <c r="M24" i="5"/>
  <c r="N24" i="5" s="1"/>
  <c r="O24" i="5" s="1"/>
  <c r="AB23" i="5"/>
  <c r="AD23" i="5" l="1"/>
  <c r="AA23" i="5"/>
  <c r="K24" i="4"/>
  <c r="L24" i="4" s="1"/>
  <c r="M24" i="4" s="1"/>
  <c r="P24" i="5"/>
  <c r="U23" i="4"/>
  <c r="V23" i="4"/>
  <c r="X23" i="4" s="1"/>
  <c r="Z23" i="4" s="1"/>
  <c r="N24" i="4" l="1"/>
  <c r="R24" i="5"/>
  <c r="Q24" i="5"/>
  <c r="T24" i="5"/>
  <c r="Y23" i="4"/>
  <c r="AA23" i="4"/>
  <c r="P24" i="4" l="1"/>
  <c r="O24" i="4"/>
  <c r="R24" i="4"/>
  <c r="S24" i="5"/>
  <c r="L25" i="5" s="1"/>
  <c r="V24" i="5"/>
  <c r="W24" i="5" s="1"/>
  <c r="U24" i="5"/>
  <c r="Q24" i="4" l="1"/>
  <c r="J25" i="4" s="1"/>
  <c r="S24" i="4"/>
  <c r="T24" i="4"/>
  <c r="W24" i="4" s="1"/>
  <c r="M25" i="5"/>
  <c r="N25" i="5" s="1"/>
  <c r="O25" i="5" s="1"/>
  <c r="AB24" i="5"/>
  <c r="Z24" i="5"/>
  <c r="AE24" i="5" s="1"/>
  <c r="Y24" i="5"/>
  <c r="U24" i="4" l="1"/>
  <c r="AA24" i="4" s="1"/>
  <c r="V24" i="4"/>
  <c r="X24" i="4" s="1"/>
  <c r="K25" i="4"/>
  <c r="L25" i="4" s="1"/>
  <c r="M25" i="4" s="1"/>
  <c r="P25" i="5"/>
  <c r="AD24" i="5"/>
  <c r="AA24" i="5"/>
  <c r="Z24" i="4" l="1"/>
  <c r="Y24" i="4"/>
  <c r="N25" i="4"/>
  <c r="R25" i="5"/>
  <c r="Q25" i="5"/>
  <c r="T25" i="5"/>
  <c r="O25" i="4" l="1"/>
  <c r="P25" i="4"/>
  <c r="R25" i="4"/>
  <c r="S25" i="5"/>
  <c r="L26" i="5" s="1"/>
  <c r="V25" i="5"/>
  <c r="W25" i="5" s="1"/>
  <c r="U25" i="5"/>
  <c r="Q25" i="4" l="1"/>
  <c r="J26" i="4" s="1"/>
  <c r="S25" i="4"/>
  <c r="T25" i="4"/>
  <c r="W25" i="4" s="1"/>
  <c r="M26" i="5"/>
  <c r="N26" i="5" s="1"/>
  <c r="O26" i="5" s="1"/>
  <c r="AB25" i="5"/>
  <c r="Z25" i="5"/>
  <c r="AE25" i="5" s="1"/>
  <c r="Y25" i="5"/>
  <c r="K26" i="4" l="1"/>
  <c r="L26" i="4" s="1"/>
  <c r="M26" i="4" s="1"/>
  <c r="P26" i="5"/>
  <c r="U25" i="4"/>
  <c r="V25" i="4"/>
  <c r="X25" i="4" s="1"/>
  <c r="Z25" i="4" s="1"/>
  <c r="AD25" i="5"/>
  <c r="AA25" i="5"/>
  <c r="N26" i="4" l="1"/>
  <c r="R26" i="5"/>
  <c r="Q26" i="5"/>
  <c r="T26" i="5"/>
  <c r="Y25" i="4"/>
  <c r="AA25" i="4"/>
  <c r="O26" i="4" l="1"/>
  <c r="P26" i="4"/>
  <c r="R26" i="4"/>
  <c r="S26" i="5"/>
  <c r="L27" i="5" s="1"/>
  <c r="V26" i="5"/>
  <c r="W26" i="5" s="1"/>
  <c r="U26" i="5"/>
  <c r="Z26" i="5" l="1"/>
  <c r="AE26" i="5" s="1"/>
  <c r="Y26" i="5"/>
  <c r="Q26" i="4"/>
  <c r="J27" i="4" s="1"/>
  <c r="S26" i="4"/>
  <c r="T26" i="4"/>
  <c r="W26" i="4" s="1"/>
  <c r="M27" i="5"/>
  <c r="N27" i="5" s="1"/>
  <c r="O27" i="5" s="1"/>
  <c r="AB26" i="5"/>
  <c r="AD26" i="5" l="1"/>
  <c r="AA26" i="5"/>
  <c r="U26" i="4"/>
  <c r="V26" i="4"/>
  <c r="X26" i="4" s="1"/>
  <c r="Z26" i="4" s="1"/>
  <c r="K27" i="4"/>
  <c r="L27" i="4" s="1"/>
  <c r="M27" i="4" s="1"/>
  <c r="P27" i="5"/>
  <c r="Y26" i="4" l="1"/>
  <c r="AA26" i="4"/>
  <c r="N27" i="4"/>
  <c r="R27" i="5"/>
  <c r="Q27" i="5"/>
  <c r="T27" i="5"/>
  <c r="O27" i="4" l="1"/>
  <c r="P27" i="4"/>
  <c r="R27" i="4"/>
  <c r="S27" i="5"/>
  <c r="L28" i="5" s="1"/>
  <c r="V27" i="5"/>
  <c r="W27" i="5" s="1"/>
  <c r="U27" i="5"/>
  <c r="Q27" i="4" l="1"/>
  <c r="J28" i="4" s="1"/>
  <c r="S27" i="4"/>
  <c r="T27" i="4"/>
  <c r="W27" i="4" s="1"/>
  <c r="M28" i="5"/>
  <c r="N28" i="5" s="1"/>
  <c r="O28" i="5" s="1"/>
  <c r="AB27" i="5"/>
  <c r="Y27" i="5"/>
  <c r="Z27" i="5"/>
  <c r="AE27" i="5" s="1"/>
  <c r="K28" i="4" l="1"/>
  <c r="L28" i="4" s="1"/>
  <c r="M28" i="4" s="1"/>
  <c r="P28" i="5"/>
  <c r="U27" i="4"/>
  <c r="V27" i="4"/>
  <c r="X27" i="4" s="1"/>
  <c r="Z27" i="4" s="1"/>
  <c r="AD27" i="5"/>
  <c r="AA27" i="5"/>
  <c r="N28" i="4" l="1"/>
  <c r="R28" i="5"/>
  <c r="Q28" i="5"/>
  <c r="T28" i="5"/>
  <c r="Y27" i="4"/>
  <c r="AA27" i="4"/>
  <c r="O28" i="4" l="1"/>
  <c r="P28" i="4"/>
  <c r="R28" i="4"/>
  <c r="S28" i="5"/>
  <c r="L29" i="5" s="1"/>
  <c r="V28" i="5"/>
  <c r="W28" i="5" s="1"/>
  <c r="U28" i="5"/>
  <c r="Y28" i="5" l="1"/>
  <c r="AD28" i="5" s="1"/>
  <c r="Z28" i="5"/>
  <c r="Q28" i="4"/>
  <c r="J29" i="4" s="1"/>
  <c r="S28" i="4"/>
  <c r="T28" i="4"/>
  <c r="W28" i="4" s="1"/>
  <c r="M29" i="5"/>
  <c r="N29" i="5" s="1"/>
  <c r="O29" i="5" s="1"/>
  <c r="AB28" i="5"/>
  <c r="AE28" i="5" l="1"/>
  <c r="AA28" i="5"/>
  <c r="K29" i="4"/>
  <c r="L29" i="4" s="1"/>
  <c r="M29" i="4" s="1"/>
  <c r="P29" i="5"/>
  <c r="V28" i="4"/>
  <c r="X28" i="4" s="1"/>
  <c r="Z28" i="4" s="1"/>
  <c r="U28" i="4"/>
  <c r="N29" i="4" l="1"/>
  <c r="R29" i="5"/>
  <c r="Q29" i="5"/>
  <c r="T29" i="5"/>
  <c r="Y28" i="4"/>
  <c r="AA28" i="4"/>
  <c r="O29" i="4" l="1"/>
  <c r="P29" i="4"/>
  <c r="R29" i="4"/>
  <c r="S29" i="5"/>
  <c r="L30" i="5" s="1"/>
  <c r="V29" i="5"/>
  <c r="W29" i="5" s="1"/>
  <c r="U29" i="5"/>
  <c r="Q29" i="4" l="1"/>
  <c r="J30" i="4" s="1"/>
  <c r="S29" i="4"/>
  <c r="T29" i="4"/>
  <c r="W29" i="4" s="1"/>
  <c r="M30" i="5"/>
  <c r="N30" i="5" s="1"/>
  <c r="O30" i="5" s="1"/>
  <c r="AB29" i="5"/>
  <c r="Y29" i="5"/>
  <c r="Z29" i="5"/>
  <c r="AE29" i="5" s="1"/>
  <c r="K30" i="4" l="1"/>
  <c r="L30" i="4" s="1"/>
  <c r="M30" i="4" s="1"/>
  <c r="P30" i="5"/>
  <c r="V29" i="4"/>
  <c r="X29" i="4" s="1"/>
  <c r="Z29" i="4" s="1"/>
  <c r="U29" i="4"/>
  <c r="AD29" i="5"/>
  <c r="AA29" i="5"/>
  <c r="N30" i="4" l="1"/>
  <c r="R30" i="5"/>
  <c r="Q30" i="5"/>
  <c r="T30" i="5"/>
  <c r="Y29" i="4"/>
  <c r="AA29" i="4"/>
  <c r="O30" i="4" l="1"/>
  <c r="P30" i="4"/>
  <c r="R30" i="4"/>
  <c r="S30" i="5"/>
  <c r="L31" i="5" s="1"/>
  <c r="V30" i="5"/>
  <c r="W30" i="5" s="1"/>
  <c r="U30" i="5"/>
  <c r="Z30" i="5" l="1"/>
  <c r="AE30" i="5" s="1"/>
  <c r="Y30" i="5"/>
  <c r="Q30" i="4"/>
  <c r="J31" i="4" s="1"/>
  <c r="S30" i="4"/>
  <c r="T30" i="4"/>
  <c r="W30" i="4" s="1"/>
  <c r="M31" i="5"/>
  <c r="N31" i="5" s="1"/>
  <c r="O31" i="5" s="1"/>
  <c r="AB30" i="5"/>
  <c r="AD30" i="5" l="1"/>
  <c r="AA30" i="5"/>
  <c r="V30" i="4"/>
  <c r="X30" i="4" s="1"/>
  <c r="Z30" i="4" s="1"/>
  <c r="U30" i="4"/>
  <c r="K31" i="4"/>
  <c r="L31" i="4" s="1"/>
  <c r="M31" i="4" s="1"/>
  <c r="P31" i="5"/>
  <c r="AA30" i="4" l="1"/>
  <c r="Y30" i="4"/>
  <c r="N31" i="4"/>
  <c r="R31" i="5"/>
  <c r="Q31" i="5"/>
  <c r="T31" i="5"/>
  <c r="O31" i="4" l="1"/>
  <c r="P31" i="4"/>
  <c r="R31" i="4"/>
  <c r="S31" i="5"/>
  <c r="L32" i="5" s="1"/>
  <c r="V31" i="5"/>
  <c r="W31" i="5" s="1"/>
  <c r="U31" i="5"/>
  <c r="Q31" i="4" l="1"/>
  <c r="J32" i="4" s="1"/>
  <c r="S31" i="4"/>
  <c r="T31" i="4"/>
  <c r="W31" i="4" s="1"/>
  <c r="M32" i="5"/>
  <c r="N32" i="5" s="1"/>
  <c r="O32" i="5" s="1"/>
  <c r="AB31" i="5"/>
  <c r="Z31" i="5"/>
  <c r="AE31" i="5" s="1"/>
  <c r="Y31" i="5"/>
  <c r="K32" i="4" l="1"/>
  <c r="L32" i="4" s="1"/>
  <c r="M32" i="4" s="1"/>
  <c r="P32" i="5"/>
  <c r="U31" i="4"/>
  <c r="V31" i="4"/>
  <c r="X31" i="4" s="1"/>
  <c r="Z31" i="4" s="1"/>
  <c r="AD31" i="5"/>
  <c r="AA31" i="5"/>
  <c r="N32" i="4" l="1"/>
  <c r="R32" i="5"/>
  <c r="Q32" i="5"/>
  <c r="T32" i="5"/>
  <c r="Y31" i="4"/>
  <c r="AA31" i="4"/>
  <c r="O32" i="4" l="1"/>
  <c r="P32" i="4"/>
  <c r="R32" i="4"/>
  <c r="S32" i="5"/>
  <c r="L33" i="5" s="1"/>
  <c r="V32" i="5"/>
  <c r="W32" i="5" s="1"/>
  <c r="U32" i="5"/>
  <c r="Y32" i="5" l="1"/>
  <c r="AD32" i="5" s="1"/>
  <c r="Z32" i="5"/>
  <c r="Q32" i="4"/>
  <c r="J33" i="4" s="1"/>
  <c r="S32" i="4"/>
  <c r="T32" i="4"/>
  <c r="W32" i="4" s="1"/>
  <c r="M33" i="5"/>
  <c r="N33" i="5" s="1"/>
  <c r="O33" i="5" s="1"/>
  <c r="AB32" i="5"/>
  <c r="AE32" i="5" l="1"/>
  <c r="AA32" i="5"/>
  <c r="K33" i="4"/>
  <c r="L33" i="4" s="1"/>
  <c r="M33" i="4" s="1"/>
  <c r="P33" i="5"/>
  <c r="U32" i="4"/>
  <c r="V32" i="4"/>
  <c r="X32" i="4" s="1"/>
  <c r="Z32" i="4" s="1"/>
  <c r="N33" i="4" l="1"/>
  <c r="Q33" i="5"/>
  <c r="R33" i="5"/>
  <c r="T33" i="5"/>
  <c r="Y32" i="4"/>
  <c r="AA32" i="4"/>
  <c r="O33" i="4" l="1"/>
  <c r="P33" i="4"/>
  <c r="R33" i="4"/>
  <c r="S33" i="5"/>
  <c r="L34" i="5" s="1"/>
  <c r="U33" i="5"/>
  <c r="V33" i="5"/>
  <c r="W33" i="5" s="1"/>
  <c r="Y33" i="5" l="1"/>
  <c r="AD33" i="5" s="1"/>
  <c r="Z33" i="5"/>
  <c r="Q33" i="4"/>
  <c r="J34" i="4" s="1"/>
  <c r="S33" i="4"/>
  <c r="T33" i="4"/>
  <c r="W33" i="4" s="1"/>
  <c r="M34" i="5"/>
  <c r="N34" i="5" s="1"/>
  <c r="O34" i="5" s="1"/>
  <c r="AB33" i="5"/>
  <c r="AE33" i="5" l="1"/>
  <c r="AA33" i="5"/>
  <c r="K34" i="4"/>
  <c r="L34" i="4" s="1"/>
  <c r="M34" i="4" s="1"/>
  <c r="P34" i="5"/>
  <c r="U33" i="4"/>
  <c r="V33" i="4"/>
  <c r="X33" i="4" s="1"/>
  <c r="Z33" i="4" s="1"/>
  <c r="N34" i="4" l="1"/>
  <c r="R34" i="5"/>
  <c r="Q34" i="5"/>
  <c r="T34" i="5"/>
  <c r="Y33" i="4"/>
  <c r="AA33" i="4"/>
  <c r="O34" i="4" l="1"/>
  <c r="P34" i="4"/>
  <c r="R34" i="4"/>
  <c r="S34" i="5"/>
  <c r="L35" i="5" s="1"/>
  <c r="U34" i="5"/>
  <c r="V34" i="5"/>
  <c r="W34" i="5" s="1"/>
  <c r="Y34" i="5" l="1"/>
  <c r="AD34" i="5" s="1"/>
  <c r="Z34" i="5"/>
  <c r="Q34" i="4"/>
  <c r="J35" i="4" s="1"/>
  <c r="T34" i="4"/>
  <c r="W34" i="4" s="1"/>
  <c r="S34" i="4"/>
  <c r="M35" i="5"/>
  <c r="N35" i="5" s="1"/>
  <c r="O35" i="5" s="1"/>
  <c r="AB34" i="5"/>
  <c r="AE34" i="5" l="1"/>
  <c r="AA34" i="5"/>
  <c r="V34" i="4"/>
  <c r="X34" i="4" s="1"/>
  <c r="Z34" i="4" s="1"/>
  <c r="U34" i="4"/>
  <c r="K35" i="4"/>
  <c r="L35" i="4" s="1"/>
  <c r="M35" i="4" s="1"/>
  <c r="P35" i="5"/>
  <c r="Y34" i="4" l="1"/>
  <c r="AA34" i="4"/>
  <c r="N35" i="4"/>
  <c r="R35" i="5"/>
  <c r="Q35" i="5"/>
  <c r="T35" i="5"/>
  <c r="O35" i="4" l="1"/>
  <c r="P35" i="4"/>
  <c r="R35" i="4"/>
  <c r="S35" i="5"/>
  <c r="L36" i="5" s="1"/>
  <c r="V35" i="5"/>
  <c r="W35" i="5" s="1"/>
  <c r="U35" i="5"/>
  <c r="Q35" i="4" l="1"/>
  <c r="J36" i="4" s="1"/>
  <c r="T35" i="4"/>
  <c r="W35" i="4" s="1"/>
  <c r="S35" i="4"/>
  <c r="M36" i="5"/>
  <c r="N36" i="5" s="1"/>
  <c r="O36" i="5" s="1"/>
  <c r="AB35" i="5"/>
  <c r="Z35" i="5"/>
  <c r="AE35" i="5" s="1"/>
  <c r="Y35" i="5"/>
  <c r="U35" i="4" l="1"/>
  <c r="AA35" i="4" s="1"/>
  <c r="V35" i="4"/>
  <c r="X35" i="4" s="1"/>
  <c r="K36" i="4"/>
  <c r="L36" i="4" s="1"/>
  <c r="M36" i="4" s="1"/>
  <c r="P36" i="5"/>
  <c r="AD35" i="5"/>
  <c r="AA35" i="5"/>
  <c r="Z35" i="4" l="1"/>
  <c r="Y35" i="4"/>
  <c r="N36" i="4"/>
  <c r="Q36" i="5"/>
  <c r="R36" i="5"/>
  <c r="P37" i="5"/>
  <c r="T36" i="5"/>
  <c r="P36" i="4" l="1"/>
  <c r="O36" i="4"/>
  <c r="N37" i="4"/>
  <c r="R36" i="4"/>
  <c r="S36" i="5"/>
  <c r="Q37" i="5"/>
  <c r="R37" i="5"/>
  <c r="V36" i="5"/>
  <c r="U36" i="5"/>
  <c r="T37" i="5"/>
  <c r="P37" i="4" l="1"/>
  <c r="Q36" i="4"/>
  <c r="O37" i="4"/>
  <c r="S36" i="4"/>
  <c r="T36" i="4"/>
  <c r="R37" i="4"/>
  <c r="V37" i="5"/>
  <c r="W36" i="5"/>
  <c r="U37" i="5"/>
  <c r="Y36" i="5"/>
  <c r="Z36" i="5"/>
  <c r="T37" i="4" l="1"/>
  <c r="W36" i="4"/>
  <c r="W37" i="4" s="1"/>
  <c r="AB36" i="5"/>
  <c r="C45" i="5" s="1"/>
  <c r="AA36" i="5"/>
  <c r="AA37" i="5" s="1"/>
  <c r="W37" i="5"/>
  <c r="C42" i="5"/>
  <c r="Y37" i="5"/>
  <c r="E42" i="5"/>
  <c r="AD36" i="5"/>
  <c r="E45" i="5" s="1"/>
  <c r="F42" i="5"/>
  <c r="Z37" i="5"/>
  <c r="AE36" i="5"/>
  <c r="F45" i="5" s="1"/>
  <c r="S37" i="4"/>
  <c r="V36" i="4"/>
  <c r="U36" i="4"/>
  <c r="C23" i="6" l="1"/>
  <c r="D22" i="7"/>
  <c r="C47" i="5"/>
  <c r="D47" i="5" s="1"/>
  <c r="C44" i="5"/>
  <c r="C43" i="5"/>
  <c r="D19" i="7"/>
  <c r="F19" i="7"/>
  <c r="E43" i="5"/>
  <c r="E44" i="5"/>
  <c r="C30" i="6"/>
  <c r="F22" i="7"/>
  <c r="F44" i="5"/>
  <c r="G19" i="7"/>
  <c r="F43" i="5"/>
  <c r="G22" i="7"/>
  <c r="F30" i="6"/>
  <c r="V37" i="4"/>
  <c r="X36" i="4"/>
  <c r="Y36" i="4" s="1"/>
  <c r="Y37" i="4" s="1"/>
  <c r="D42" i="4"/>
  <c r="U37" i="4"/>
  <c r="AA36" i="4"/>
  <c r="D45" i="4" s="1"/>
  <c r="D26" i="7" l="1"/>
  <c r="C24" i="6"/>
  <c r="D21" i="7"/>
  <c r="D20" i="7"/>
  <c r="C25" i="6"/>
  <c r="C32" i="6"/>
  <c r="F20" i="7"/>
  <c r="F21" i="7"/>
  <c r="C31" i="6"/>
  <c r="G21" i="7"/>
  <c r="F31" i="6"/>
  <c r="F32" i="6"/>
  <c r="G20" i="7"/>
  <c r="X37" i="4"/>
  <c r="C42" i="4"/>
  <c r="Z36" i="4"/>
  <c r="C45" i="4" s="1"/>
  <c r="D43" i="4"/>
  <c r="F17" i="6" s="1"/>
  <c r="D44" i="4"/>
  <c r="E11" i="7"/>
  <c r="F15" i="6"/>
  <c r="C44" i="4" l="1"/>
  <c r="C43" i="4"/>
  <c r="C17" i="6" s="1"/>
  <c r="C47" i="4"/>
  <c r="D47" i="4" s="1"/>
  <c r="D11" i="7"/>
  <c r="C15" i="6"/>
  <c r="F16" i="6"/>
  <c r="G11" i="7"/>
  <c r="C16" i="6" l="1"/>
  <c r="F11" i="7"/>
</calcChain>
</file>

<file path=xl/sharedStrings.xml><?xml version="1.0" encoding="utf-8"?>
<sst xmlns="http://schemas.openxmlformats.org/spreadsheetml/2006/main" count="258" uniqueCount="167">
  <si>
    <t>INPUTS</t>
  </si>
  <si>
    <t>Deal Facts</t>
  </si>
  <si>
    <t>Investment Date</t>
  </si>
  <si>
    <t>Total Equity Invested</t>
  </si>
  <si>
    <t>Final Distribution Date</t>
  </si>
  <si>
    <t>Capital Structure - Part I &amp; Part II</t>
  </si>
  <si>
    <t>Party</t>
  </si>
  <si>
    <t>% of Equity</t>
  </si>
  <si>
    <t>Capital</t>
  </si>
  <si>
    <t>General Partner</t>
  </si>
  <si>
    <t>Limited Partner</t>
  </si>
  <si>
    <t>Total</t>
  </si>
  <si>
    <t>Hurdle Rates and Promote Splits</t>
  </si>
  <si>
    <t>Hurdle 1 (Preferred Return)</t>
  </si>
  <si>
    <t>Hurdle 2</t>
  </si>
  <si>
    <t>Tier 2 split - Investors</t>
  </si>
  <si>
    <t>Tier 2 split - GP Promote</t>
  </si>
  <si>
    <t>Tier 3 split - Investors</t>
  </si>
  <si>
    <t>Tier 3 split - GP Promote</t>
  </si>
  <si>
    <t>Capital Structure - Part III (Multi-Entity)</t>
  </si>
  <si>
    <t>Entity</t>
  </si>
  <si>
    <t>In Waterfall?</t>
  </si>
  <si>
    <t>Pays Promote?</t>
  </si>
  <si>
    <t>GP Promote Entity</t>
  </si>
  <si>
    <t>Yes</t>
  </si>
  <si>
    <t>Receives</t>
  </si>
  <si>
    <t>Entity A - Property Manager</t>
  </si>
  <si>
    <t>No (project-level)</t>
  </si>
  <si>
    <t>No</t>
  </si>
  <si>
    <t>Entity B - GP Investment</t>
  </si>
  <si>
    <t>Yes (pro rata with C)</t>
  </si>
  <si>
    <t>Entity C - Limited Partner</t>
  </si>
  <si>
    <t>Yes (pro rata with B)</t>
  </si>
  <si>
    <t>MONTHLY PROJECT CASH FLOW SCHEDULE</t>
  </si>
  <si>
    <t>Month</t>
  </si>
  <si>
    <t>Date</t>
  </si>
  <si>
    <t>Project Cash Flow</t>
  </si>
  <si>
    <t>Cumulative</t>
  </si>
  <si>
    <t>Notes</t>
  </si>
  <si>
    <t>Capital invested</t>
  </si>
  <si>
    <t>Distribution</t>
  </si>
  <si>
    <t>Total distributions</t>
  </si>
  <si>
    <t>Project Metrics</t>
  </si>
  <si>
    <t>Total Distributions</t>
  </si>
  <si>
    <t>Total Profit</t>
  </si>
  <si>
    <t>Project IRR (XIRR)</t>
  </si>
  <si>
    <t>Project MOIC</t>
  </si>
  <si>
    <t>Hurdle 1 - 9% Preferred Return Tracking</t>
  </si>
  <si>
    <t>Tier Distributions</t>
  </si>
  <si>
    <t>Entity Allocation</t>
  </si>
  <si>
    <t>Mo</t>
  </si>
  <si>
    <t>Cash to Distribute</t>
  </si>
  <si>
    <t>Beg Bal (Cap+Pref)</t>
  </si>
  <si>
    <t>Accrual @ 9%/12</t>
  </si>
  <si>
    <t>Total Owed</t>
  </si>
  <si>
    <t>Tier 1 Dist (Pari Passu)</t>
  </si>
  <si>
    <t>End Bal</t>
  </si>
  <si>
    <t>Tier 2 Dist (Promote Tier)</t>
  </si>
  <si>
    <t>T2 - Investors 75%</t>
  </si>
  <si>
    <t>T2 - Promote 25%</t>
  </si>
  <si>
    <t>Cash Check</t>
  </si>
  <si>
    <t>LP Distribution</t>
  </si>
  <si>
    <t>GP - Investor</t>
  </si>
  <si>
    <t>GP - Promote</t>
  </si>
  <si>
    <t>GP Total</t>
  </si>
  <si>
    <t>Check (Out=In)</t>
  </si>
  <si>
    <t>GP CF (for XIRR)</t>
  </si>
  <si>
    <t>LP CF (for XIRR)</t>
  </si>
  <si>
    <t>Part I - Returns to Each Party</t>
  </si>
  <si>
    <t>Metric</t>
  </si>
  <si>
    <t>Investment Amount</t>
  </si>
  <si>
    <t>Profit</t>
  </si>
  <si>
    <t>MOIC</t>
  </si>
  <si>
    <t>IRR (XIRR)</t>
  </si>
  <si>
    <t>Check: GP Total + LP Total = Project Cash</t>
  </si>
  <si>
    <t>Hurdle 1 - 9% Tracking</t>
  </si>
  <si>
    <t>Tier 1 Dist</t>
  </si>
  <si>
    <t>Hurdle 2 - 18% Tracking</t>
  </si>
  <si>
    <t>Tier 2 Dist (75/25)</t>
  </si>
  <si>
    <t>Tier 3 Dist (60/40)</t>
  </si>
  <si>
    <t>Cash</t>
  </si>
  <si>
    <t>Beg Bal (H1)</t>
  </si>
  <si>
    <t>Accr @ 9%/12</t>
  </si>
  <si>
    <t>Total Owed H1</t>
  </si>
  <si>
    <t>T1 Dist</t>
  </si>
  <si>
    <t>End H1</t>
  </si>
  <si>
    <t>Beg Bal (H2)</t>
  </si>
  <si>
    <t>Accr @ 18%/12</t>
  </si>
  <si>
    <t>Total Owed H2</t>
  </si>
  <si>
    <t>H2 after T1</t>
  </si>
  <si>
    <t>T2 Dist</t>
  </si>
  <si>
    <t>T2 Inv (75%)</t>
  </si>
  <si>
    <t>T2 Prom (25%)</t>
  </si>
  <si>
    <t>End H2</t>
  </si>
  <si>
    <t>T3 Dist</t>
  </si>
  <si>
    <t>T3 Inv (60%)</t>
  </si>
  <si>
    <t>T3 Prom (40%)</t>
  </si>
  <si>
    <t>LP</t>
  </si>
  <si>
    <t>GP Inv</t>
  </si>
  <si>
    <t>GP Prom</t>
  </si>
  <si>
    <t>Check</t>
  </si>
  <si>
    <t>GP CF (XIRR)</t>
  </si>
  <si>
    <t>LP CF (XIRR)</t>
  </si>
  <si>
    <t>Part II - Returns to Each Party</t>
  </si>
  <si>
    <t>Check: GP + LP = Project Cash</t>
  </si>
  <si>
    <t>Tier 2 (75/25)</t>
  </si>
  <si>
    <t>Tier 3 (60/40)</t>
  </si>
  <si>
    <t>Beg H1</t>
  </si>
  <si>
    <t>Accr 9%/12</t>
  </si>
  <si>
    <t>Owed H1</t>
  </si>
  <si>
    <t>Beg H2</t>
  </si>
  <si>
    <t>Accr 18%/12</t>
  </si>
  <si>
    <t>Owed H2</t>
  </si>
  <si>
    <t>T2 Inv 75%</t>
  </si>
  <si>
    <t>T2 Prom 25%</t>
  </si>
  <si>
    <t>T3 Inv 60%</t>
  </si>
  <si>
    <t>T3 Prom 40%</t>
  </si>
  <si>
    <t>Entity A</t>
  </si>
  <si>
    <t>Entity B</t>
  </si>
  <si>
    <t>Entity C</t>
  </si>
  <si>
    <t>GP Promote CF</t>
  </si>
  <si>
    <t>Entity A CF</t>
  </si>
  <si>
    <t>Entity B CF</t>
  </si>
  <si>
    <t>Entity C CF</t>
  </si>
  <si>
    <t>Part III - Returns to Each Entity</t>
  </si>
  <si>
    <t>GP Promote</t>
  </si>
  <si>
    <t>Check: All Entities Sum = Project Cash</t>
  </si>
  <si>
    <t>PART I - Returns</t>
  </si>
  <si>
    <t>Part I - General Partner Returns</t>
  </si>
  <si>
    <t>Part I - Limited Partner Returns</t>
  </si>
  <si>
    <t>IRR</t>
  </si>
  <si>
    <t>PART II - Returns</t>
  </si>
  <si>
    <t>Part II - General Partner Returns</t>
  </si>
  <si>
    <t>Part II - Limited Partner Returns</t>
  </si>
  <si>
    <t>PART III - Returns</t>
  </si>
  <si>
    <t>Part III - GP Promote Entity Returns</t>
  </si>
  <si>
    <t>Part III - Entity A Returns</t>
  </si>
  <si>
    <t>Part III - Entity B Returns</t>
  </si>
  <si>
    <t>Part III - Entity C Returns</t>
  </si>
  <si>
    <t>Actual-date basis</t>
  </si>
  <si>
    <t>PART I WATERFALL - Actual-Date 9% IRR Hurdle, then 75/25 Promote</t>
  </si>
  <si>
    <t>PART II WATERFALL - Actual-Date 9% / 18% IRR Hurdles</t>
  </si>
  <si>
    <t>PART III WATERFALL - Entity A Project Share; B/C Fund Promote to GP Promote Entity</t>
  </si>
  <si>
    <t>Project-Level Cash Not Paying Promote</t>
  </si>
  <si>
    <t>Hurdle 1 - 9% B/C Tracking</t>
  </si>
  <si>
    <t>Hurdle 2 - 18% B/C Tracking</t>
  </si>
  <si>
    <t>Entity A Share 5.00%</t>
  </si>
  <si>
    <t>Cash to B/C Waterfall</t>
  </si>
  <si>
    <t>FINAL ANSWERS - PART I, PART II, PART III</t>
  </si>
  <si>
    <t>Investor capital and distribution returns</t>
  </si>
  <si>
    <t>Historical portfolio analysis; original dates, assumptions and units retained</t>
  </si>
  <si>
    <t>Partner returns, actual-date hurdles</t>
  </si>
  <si>
    <t>Structure</t>
  </si>
  <si>
    <t>GP IRR</t>
  </si>
  <si>
    <t>LP IRR</t>
  </si>
  <si>
    <t>GP multiple</t>
  </si>
  <si>
    <t>LP multiple</t>
  </si>
  <si>
    <t>One preferred-return hurdle</t>
  </si>
  <si>
    <t>Two preferred-return hurdles</t>
  </si>
  <si>
    <t>Multi-entity distribution</t>
  </si>
  <si>
    <t>GP promote</t>
  </si>
  <si>
    <t>Invested capital</t>
  </si>
  <si>
    <t>Net profit</t>
  </si>
  <si>
    <t>Multiple</t>
  </si>
  <si>
    <t>Actual-date IRR</t>
  </si>
  <si>
    <t>Distribution reconciliation</t>
  </si>
  <si>
    <t>Original actual-date XIRR hurdles and promote splits are retained. The supplied whole-fund waterfall does not replace these property-specific mechanics.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</si>
</sst>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\$* #,##0_);_(\$* \(#,##0\);_(\$* \-_);_(@_)"/>
    <numFmt numFmtId="165" formatCode="0.00%;\(0.00%\);\-"/>
    <numFmt numFmtId="166" formatCode="0.0000%"/>
    <numFmt numFmtId="167" formatCode="0.00\x"/>
    <numFmt numFmtId="168" formatCode="\$#,##0;[Red]\(\$#,##0\);\-"/>
    <numFmt numFmtId="169" formatCode="#,##0.0;\(#,##0.0\);&quot;-&quot;"/>
    <numFmt numFmtId="170" formatCode="0.0%;\(0.0%\);&quot;-&quot;"/>
    <numFmt numFmtId="171" formatCode="0.0&quot;x&quot;"/>
  </numFmts>
  <fonts count="18" x14ac:knownFonts="1">
    <font>
      <sz val="11"/>
      <color theme="1"/>
      <name val="Calibri"/>
    </font>
    <font>
      <b/>
      <sz val="14"/>
      <color rgb="FFFFFFFF"/>
      <name val="Arial"/>
    </font>
    <font>
      <b/>
      <sz val="11"/>
      <color rgb="FFFFFFFF"/>
      <name val="Arial"/>
    </font>
    <font>
      <b/>
      <sz val="10"/>
      <name val="Arial"/>
    </font>
    <font>
      <sz val="10"/>
      <color rgb="FF0000FF"/>
      <name val="Arial"/>
    </font>
    <font>
      <sz val="10"/>
      <name val="Arial"/>
    </font>
    <font>
      <sz val="10"/>
      <color rgb="FF000000"/>
      <name val="Arial"/>
    </font>
    <font>
      <i/>
      <sz val="9"/>
      <color rgb="FF595959"/>
      <name val="Arial"/>
    </font>
    <font>
      <sz val="10"/>
      <color rgb="FF008000"/>
      <name val="Arial"/>
    </font>
    <font>
      <b/>
      <sz val="10"/>
      <color rgb="FF006100"/>
      <name val="Arial"/>
    </font>
    <font>
      <b/>
      <sz val="10"/>
      <color rgb="FF008000"/>
      <name val="Arial"/>
    </font>
    <font>
      <b/>
      <sz val="10"/>
      <color rgb="FF000000"/>
      <name val="Arial"/>
    </font>
    <font>
      <sz val="10"/>
      <name val="Arial"/>
    </font>
    <font>
      <b/>
      <sz val="15"/>
      <color rgb="FF000000"/>
      <name val="Arial"/>
    </font>
    <font>
      <i/>
      <sz val="10"/>
      <color rgb="FF555555"/>
      <name val="Arial"/>
    </font>
    <font>
      <b/>
      <sz val="10"/>
      <color rgb="FFFFFFFF"/>
      <name val="Arial"/>
    </font>
    <font>
      <sz val="10"/>
      <color rgb="FF008000"/>
      <name val="Arial"/>
    </font>
    <font>
      <sz val="9"/>
      <color rgb="FF555555"/>
      <name val="Arial"/>
    </font>
  </fonts>
  <fills count="10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D9E1F2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C6EFCE"/>
      </patternFill>
    </fill>
    <fill>
      <patternFill patternType="none"/>
    </fill>
    <fill>
      <patternFill patternType="solid">
        <fgColor rgb="FF244A73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4" borderId="1" xfId="0" applyFont="1" applyFill="1" applyBorder="1" applyAlignment="1">
      <alignment horizontal="left" vertical="center" wrapText="1"/>
    </xf>
    <xf numFmtId="14" fontId="4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5" fontId="4" fillId="5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165" fontId="3" fillId="6" borderId="1" xfId="0" applyNumberFormat="1" applyFont="1" applyFill="1" applyBorder="1" applyAlignment="1">
      <alignment horizontal="right" vertical="center"/>
    </xf>
    <xf numFmtId="164" fontId="3" fillId="6" borderId="1" xfId="0" applyNumberFormat="1" applyFont="1" applyFill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/>
    <xf numFmtId="167" fontId="6" fillId="0" borderId="1" xfId="0" applyNumberFormat="1" applyFont="1" applyBorder="1" applyAlignment="1">
      <alignment horizontal="right" vertical="center"/>
    </xf>
    <xf numFmtId="14" fontId="8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164" fontId="3" fillId="7" borderId="1" xfId="0" applyNumberFormat="1" applyFont="1" applyFill="1" applyBorder="1" applyAlignment="1">
      <alignment horizontal="right" vertical="center"/>
    </xf>
    <xf numFmtId="0" fontId="9" fillId="7" borderId="1" xfId="0" applyFont="1" applyFill="1" applyBorder="1" applyAlignment="1">
      <alignment horizontal="center" vertical="center" wrapText="1"/>
    </xf>
    <xf numFmtId="167" fontId="10" fillId="0" borderId="1" xfId="0" applyNumberFormat="1" applyFont="1" applyBorder="1" applyAlignment="1">
      <alignment horizontal="right" vertical="center"/>
    </xf>
    <xf numFmtId="10" fontId="6" fillId="0" borderId="1" xfId="0" applyNumberFormat="1" applyFont="1" applyBorder="1" applyAlignment="1">
      <alignment horizontal="right" vertical="center"/>
    </xf>
    <xf numFmtId="0" fontId="11" fillId="4" borderId="1" xfId="0" applyFont="1" applyFill="1" applyBorder="1" applyAlignment="1">
      <alignment horizontal="left" vertical="center" wrapText="1"/>
    </xf>
    <xf numFmtId="168" fontId="8" fillId="0" borderId="1" xfId="0" applyNumberFormat="1" applyFont="1" applyBorder="1" applyAlignment="1">
      <alignment horizontal="right" vertical="center"/>
    </xf>
    <xf numFmtId="168" fontId="6" fillId="0" borderId="1" xfId="0" applyNumberFormat="1" applyFont="1" applyBorder="1" applyAlignment="1">
      <alignment horizontal="right" vertical="center"/>
    </xf>
    <xf numFmtId="168" fontId="4" fillId="5" borderId="1" xfId="0" applyNumberFormat="1" applyFont="1" applyFill="1" applyBorder="1" applyAlignment="1">
      <alignment horizontal="right" vertical="center"/>
    </xf>
    <xf numFmtId="168" fontId="3" fillId="6" borderId="1" xfId="0" applyNumberFormat="1" applyFont="1" applyFill="1" applyBorder="1" applyAlignment="1">
      <alignment horizontal="right" vertical="center"/>
    </xf>
    <xf numFmtId="168" fontId="0" fillId="0" borderId="0" xfId="0" applyNumberFormat="1"/>
    <xf numFmtId="168" fontId="10" fillId="0" borderId="1" xfId="0" applyNumberFormat="1" applyFont="1" applyBorder="1" applyAlignment="1">
      <alignment horizontal="right" vertical="center"/>
    </xf>
    <xf numFmtId="10" fontId="10" fillId="0" borderId="1" xfId="0" applyNumberFormat="1" applyFont="1" applyBorder="1" applyAlignment="1">
      <alignment horizontal="right" vertical="center"/>
    </xf>
    <xf numFmtId="0" fontId="12" fillId="8" borderId="2" xfId="0" applyFont="1" applyFill="1" applyBorder="1" applyAlignment="1">
      <alignment vertical="center"/>
    </xf>
    <xf numFmtId="169" fontId="12" fillId="8" borderId="2" xfId="0" applyNumberFormat="1" applyFont="1" applyFill="1" applyBorder="1" applyAlignment="1">
      <alignment vertical="center"/>
    </xf>
    <xf numFmtId="0" fontId="15" fillId="9" borderId="2" xfId="0" applyFont="1" applyFill="1" applyBorder="1" applyAlignment="1">
      <alignment vertical="center"/>
    </xf>
    <xf numFmtId="169" fontId="15" fillId="9" borderId="2" xfId="0" applyNumberFormat="1" applyFont="1" applyFill="1" applyBorder="1" applyAlignment="1">
      <alignment vertical="center"/>
    </xf>
    <xf numFmtId="169" fontId="16" fillId="8" borderId="2" xfId="0" applyNumberFormat="1" applyFont="1" applyFill="1" applyBorder="1" applyAlignment="1">
      <alignment vertical="center"/>
    </xf>
    <xf numFmtId="170" fontId="16" fillId="8" borderId="2" xfId="0" applyNumberFormat="1" applyFont="1" applyFill="1" applyBorder="1" applyAlignment="1">
      <alignment vertical="center"/>
    </xf>
    <xf numFmtId="171" fontId="16" fillId="8" borderId="2" xfId="0" applyNumberFormat="1" applyFont="1" applyFill="1" applyBorder="1" applyAlignment="1">
      <alignment vertical="center"/>
    </xf>
    <xf numFmtId="0" fontId="13" fillId="8" borderId="3" xfId="0" applyFont="1" applyFill="1" applyBorder="1" applyAlignment="1">
      <alignment vertical="center"/>
    </xf>
    <xf numFmtId="0" fontId="12" fillId="8" borderId="3" xfId="0" applyFont="1" applyFill="1" applyBorder="1" applyAlignment="1">
      <alignment vertical="center"/>
    </xf>
    <xf numFmtId="0" fontId="14" fillId="8" borderId="2" xfId="0" applyFont="1" applyFill="1" applyBorder="1" applyAlignment="1">
      <alignment vertical="center" wrapText="1"/>
    </xf>
    <xf numFmtId="0" fontId="12" fillId="8" borderId="2" xfId="0" applyFont="1" applyFill="1" applyBorder="1" applyAlignment="1">
      <alignment vertical="center"/>
    </xf>
    <xf numFmtId="0" fontId="17" fillId="8" borderId="2" xfId="0" applyFont="1" applyFill="1" applyBorder="1" applyAlignment="1">
      <alignment vertical="center" wrapText="1"/>
    </xf>
    <xf numFmtId="169" fontId="12" fillId="8" borderId="2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168" fontId="2" fillId="3" borderId="0" xfId="0" applyNumberFormat="1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2EFDA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61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90950-FC7A-48F6-B424-43C6FA264909}">
  <sheetPr>
    <pageSetUpPr fitToPage="1"/>
  </sheetPr>
  <dimension ref="C2:I55"/>
  <sheetViews>
    <sheetView showGridLines="0" tabSelected="1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4.4" x14ac:dyDescent="0.3"/>
  <cols>
    <col min="1" max="2" width="2" customWidth="1"/>
    <col min="3" max="3" width="43" customWidth="1"/>
    <col min="4" max="9" width="15" customWidth="1"/>
  </cols>
  <sheetData>
    <row r="2" spans="3:9" ht="26" customHeight="1" x14ac:dyDescent="0.3">
      <c r="C2" s="42" t="s">
        <v>149</v>
      </c>
      <c r="D2" s="43"/>
      <c r="E2" s="43"/>
      <c r="F2" s="43"/>
      <c r="G2" s="43"/>
      <c r="H2" s="43"/>
      <c r="I2" s="43"/>
    </row>
    <row r="3" spans="3:9" ht="24" customHeight="1" x14ac:dyDescent="0.3">
      <c r="C3" s="44" t="s">
        <v>150</v>
      </c>
      <c r="D3" s="45"/>
      <c r="E3" s="45"/>
      <c r="F3" s="45"/>
      <c r="G3" s="45"/>
      <c r="H3" s="45"/>
      <c r="I3" s="45"/>
    </row>
    <row r="4" spans="3:9" ht="16" customHeight="1" x14ac:dyDescent="0.3">
      <c r="C4" s="35" t="inlineStr">
        <is>
          <t>Author: Eshan Mukherjee</t>
        </is>
      </c>
      <c r="D4" s="35"/>
      <c r="E4" s="35"/>
      <c r="F4" s="35"/>
      <c r="G4" s="35"/>
      <c r="H4" s="35"/>
      <c r="I4" s="35"/>
    </row>
    <row r="5" spans="3:9" ht="8" customHeight="1" x14ac:dyDescent="0.3">
      <c r="C5" s="35"/>
      <c r="D5" s="35"/>
      <c r="E5" s="35"/>
      <c r="F5" s="35"/>
      <c r="G5" s="35"/>
      <c r="H5" s="35"/>
      <c r="I5" s="35"/>
    </row>
    <row r="6" spans="3:9" ht="8" customHeight="1" x14ac:dyDescent="0.3">
      <c r="C6" s="35"/>
      <c r="D6" s="35"/>
      <c r="E6" s="35"/>
      <c r="F6" s="35"/>
      <c r="G6" s="35"/>
      <c r="H6" s="35"/>
      <c r="I6" s="35"/>
    </row>
    <row r="7" spans="3:9" ht="8" customHeight="1" x14ac:dyDescent="0.3">
      <c r="C7" s="35"/>
      <c r="D7" s="35"/>
      <c r="E7" s="35"/>
      <c r="F7" s="35"/>
      <c r="G7" s="35"/>
      <c r="H7" s="35"/>
      <c r="I7" s="35"/>
    </row>
    <row r="8" spans="3:9" ht="16" customHeight="1" x14ac:dyDescent="0.3">
      <c r="C8" s="37" t="s">
        <v>151</v>
      </c>
      <c r="D8" s="38"/>
      <c r="E8" s="38"/>
      <c r="F8" s="38"/>
      <c r="G8" s="38"/>
      <c r="H8" s="38"/>
      <c r="I8" s="38"/>
    </row>
    <row r="9" spans="3:9" ht="16" customHeight="1" x14ac:dyDescent="0.3">
      <c r="C9" s="35" t="s">
        <v>152</v>
      </c>
      <c r="D9" s="36" t="s">
        <v>153</v>
      </c>
      <c r="E9" s="36" t="s">
        <v>154</v>
      </c>
      <c r="F9" s="36" t="s">
        <v>155</v>
      </c>
      <c r="G9" s="36" t="s">
        <v>156</v>
      </c>
      <c r="H9" s="36"/>
      <c r="I9" s="36"/>
    </row>
    <row r="10" spans="3:9" ht="14" customHeight="1" x14ac:dyDescent="0.3">
      <c r="C10" s="35" t="s">
        <v>157</v>
      </c>
      <c r="D10" s="40">
        <f>'3. Part I Waterfall'!C45</f>
        <v>0.58708112835884108</v>
      </c>
      <c r="E10" s="40">
        <f>'3. Part I Waterfall'!D45</f>
        <v>0.2367765843868255</v>
      </c>
      <c r="F10" s="41">
        <f>'3. Part I Waterfall'!C44</f>
        <v>3.0468983612745784</v>
      </c>
      <c r="G10" s="41">
        <f>'3. Part I Waterfall'!D44</f>
        <v>1.6376406500891114</v>
      </c>
      <c r="H10" s="36"/>
      <c r="I10" s="36"/>
    </row>
    <row r="11" spans="3:9" ht="14" customHeight="1" x14ac:dyDescent="0.3">
      <c r="C11" s="35" t="s">
        <v>158</v>
      </c>
      <c r="D11" s="40">
        <f>'4. Part II Waterfall'!C45</f>
        <v>0.64926684498786935</v>
      </c>
      <c r="E11" s="40">
        <f>'4. Part II Waterfall'!D45</f>
        <v>0.22578176856040952</v>
      </c>
      <c r="F11" s="41">
        <f>'4. Part II Waterfall'!C44</f>
        <v>3.3610532369843571</v>
      </c>
      <c r="G11" s="41">
        <f>'4. Part II Waterfall'!D44</f>
        <v>1.6027345527880252</v>
      </c>
      <c r="H11" s="36"/>
      <c r="I11" s="36"/>
    </row>
    <row r="12" spans="3:9" ht="8" customHeight="1" x14ac:dyDescent="0.3">
      <c r="C12" s="35"/>
      <c r="D12" s="36"/>
      <c r="E12" s="36"/>
      <c r="F12" s="36"/>
      <c r="G12" s="36"/>
      <c r="H12" s="36"/>
      <c r="I12" s="36"/>
    </row>
    <row r="13" spans="3:9" ht="8" customHeight="1" x14ac:dyDescent="0.3">
      <c r="C13" s="35"/>
      <c r="D13" s="36"/>
      <c r="E13" s="36"/>
      <c r="F13" s="36"/>
      <c r="G13" s="36"/>
      <c r="H13" s="36"/>
      <c r="I13" s="36"/>
    </row>
    <row r="14" spans="3:9" ht="8" customHeight="1" x14ac:dyDescent="0.3">
      <c r="C14" s="35"/>
      <c r="D14" s="36"/>
      <c r="E14" s="36"/>
      <c r="F14" s="36"/>
      <c r="G14" s="36"/>
      <c r="H14" s="36"/>
      <c r="I14" s="36"/>
    </row>
    <row r="15" spans="3:9" ht="8" customHeight="1" x14ac:dyDescent="0.3">
      <c r="C15" s="35"/>
      <c r="D15" s="36"/>
      <c r="E15" s="36"/>
      <c r="F15" s="36"/>
      <c r="G15" s="36"/>
      <c r="H15" s="36"/>
      <c r="I15" s="36"/>
    </row>
    <row r="16" spans="3:9" ht="16" customHeight="1" x14ac:dyDescent="0.3">
      <c r="C16" s="37" t="s">
        <v>159</v>
      </c>
      <c r="D16" s="38"/>
      <c r="E16" s="38"/>
      <c r="F16" s="38"/>
      <c r="G16" s="38"/>
      <c r="H16" s="38"/>
      <c r="I16" s="38"/>
    </row>
    <row r="17" spans="3:9" ht="16" customHeight="1" x14ac:dyDescent="0.3">
      <c r="C17" s="35" t="s">
        <v>69</v>
      </c>
      <c r="D17" s="36" t="s">
        <v>160</v>
      </c>
      <c r="E17" s="36" t="s">
        <v>117</v>
      </c>
      <c r="F17" s="36" t="s">
        <v>118</v>
      </c>
      <c r="G17" s="36" t="s">
        <v>119</v>
      </c>
      <c r="H17" s="36"/>
      <c r="I17" s="36"/>
    </row>
    <row r="18" spans="3:9" ht="14" customHeight="1" x14ac:dyDescent="0.3">
      <c r="C18" s="35" t="s">
        <v>161</v>
      </c>
      <c r="D18" s="39">
        <f>'5. Part III Waterfall'!C41</f>
        <v>679</v>
      </c>
      <c r="E18" s="39">
        <f>'5. Part III Waterfall'!D41</f>
        <v>339500</v>
      </c>
      <c r="F18" s="39">
        <f>'5. Part III Waterfall'!E41</f>
        <v>1324729</v>
      </c>
      <c r="G18" s="39">
        <f>'5. Part III Waterfall'!F41</f>
        <v>5125092</v>
      </c>
      <c r="H18" s="36"/>
      <c r="I18" s="36"/>
    </row>
    <row r="19" spans="3:9" ht="14" customHeight="1" x14ac:dyDescent="0.3">
      <c r="C19" s="35" t="s">
        <v>41</v>
      </c>
      <c r="D19" s="39">
        <f>'5. Part III Waterfall'!C42</f>
        <v>1135291.7240021864</v>
      </c>
      <c r="E19" s="39">
        <f>'5. Part III Waterfall'!D42</f>
        <v>603823.30000000005</v>
      </c>
      <c r="F19" s="39">
        <f>'5. Part III Waterfall'!E42</f>
        <v>2123188.9413803276</v>
      </c>
      <c r="G19" s="39">
        <f>'5. Part III Waterfall'!F42</f>
        <v>8214162.0346174845</v>
      </c>
      <c r="H19" s="36"/>
      <c r="I19" s="36"/>
    </row>
    <row r="20" spans="3:9" ht="14" customHeight="1" x14ac:dyDescent="0.3">
      <c r="C20" s="35" t="s">
        <v>162</v>
      </c>
      <c r="D20" s="39">
        <f>'5. Part III Waterfall'!C43</f>
        <v>1134612.7240021864</v>
      </c>
      <c r="E20" s="39">
        <f>'5. Part III Waterfall'!D43</f>
        <v>264323.30000000005</v>
      </c>
      <c r="F20" s="39">
        <f>'5. Part III Waterfall'!E43</f>
        <v>798459.94138032757</v>
      </c>
      <c r="G20" s="39">
        <f>'5. Part III Waterfall'!F43</f>
        <v>3089070.0346174845</v>
      </c>
      <c r="H20" s="36"/>
      <c r="I20" s="36"/>
    </row>
    <row r="21" spans="3:9" ht="14" customHeight="1" x14ac:dyDescent="0.3">
      <c r="C21" s="35" t="s">
        <v>163</v>
      </c>
      <c r="D21" s="41">
        <f>'5. Part III Waterfall'!C44</f>
        <v>1672.0054845393026</v>
      </c>
      <c r="E21" s="41">
        <f>'5. Part III Waterfall'!D44</f>
        <v>1.7785664212076584</v>
      </c>
      <c r="F21" s="41">
        <f>'5. Part III Waterfall'!E44</f>
        <v>1.602734552788025</v>
      </c>
      <c r="G21" s="41">
        <f>'5. Part III Waterfall'!F44</f>
        <v>1.602734552788025</v>
      </c>
      <c r="H21" s="36"/>
      <c r="I21" s="36"/>
    </row>
    <row r="22" spans="3:9" ht="14" customHeight="1" x14ac:dyDescent="0.3">
      <c r="C22" s="35" t="s">
        <v>164</v>
      </c>
      <c r="D22" s="40">
        <f>'5. Part III Waterfall'!C45</f>
        <v>16.740348529815677</v>
      </c>
      <c r="E22" s="40">
        <f>'5. Part III Waterfall'!D45</f>
        <v>0.27954488396644595</v>
      </c>
      <c r="F22" s="40">
        <f>'5. Part III Waterfall'!E45</f>
        <v>0.22578176856040952</v>
      </c>
      <c r="G22" s="40">
        <f>'5. Part III Waterfall'!F45</f>
        <v>0.22578176856040952</v>
      </c>
      <c r="H22" s="36"/>
      <c r="I22" s="36"/>
    </row>
    <row r="23" spans="3:9" ht="8" customHeight="1" x14ac:dyDescent="0.3">
      <c r="C23" s="35"/>
      <c r="D23" s="36"/>
      <c r="E23" s="36"/>
      <c r="F23" s="36"/>
      <c r="G23" s="36"/>
      <c r="H23" s="36"/>
      <c r="I23" s="36"/>
    </row>
    <row r="24" spans="3:9" ht="8" customHeight="1" x14ac:dyDescent="0.3">
      <c r="C24" s="35"/>
      <c r="D24" s="36"/>
      <c r="E24" s="36"/>
      <c r="F24" s="36"/>
      <c r="G24" s="36"/>
      <c r="H24" s="36"/>
      <c r="I24" s="36"/>
    </row>
    <row r="25" spans="3:9" ht="8" customHeight="1" x14ac:dyDescent="0.3">
      <c r="C25" s="35"/>
      <c r="D25" s="36"/>
      <c r="E25" s="36"/>
      <c r="F25" s="36"/>
      <c r="G25" s="36"/>
      <c r="H25" s="36"/>
      <c r="I25" s="36"/>
    </row>
    <row r="26" spans="3:9" ht="14" customHeight="1" x14ac:dyDescent="0.3">
      <c r="C26" s="35" t="s">
        <v>165</v>
      </c>
      <c r="D26" s="39">
        <f>SUM(D19:G19)-'2. Monthly CF'!D37</f>
        <v>0</v>
      </c>
      <c r="E26" s="36"/>
      <c r="F26" s="36"/>
      <c r="G26" s="36"/>
      <c r="H26" s="36"/>
      <c r="I26" s="36"/>
    </row>
    <row r="27" spans="3:9" ht="8" customHeight="1" x14ac:dyDescent="0.3">
      <c r="C27" s="35"/>
      <c r="D27" s="36"/>
      <c r="E27" s="36"/>
      <c r="F27" s="36"/>
      <c r="G27" s="36"/>
      <c r="H27" s="36"/>
      <c r="I27" s="36"/>
    </row>
    <row r="28" spans="3:9" ht="8" customHeight="1" x14ac:dyDescent="0.3">
      <c r="C28" s="35"/>
      <c r="D28" s="36"/>
      <c r="E28" s="36"/>
      <c r="F28" s="36"/>
      <c r="G28" s="36"/>
      <c r="H28" s="36"/>
      <c r="I28" s="36"/>
    </row>
    <row r="29" spans="3:9" ht="8" customHeight="1" x14ac:dyDescent="0.3">
      <c r="C29" s="35"/>
      <c r="D29" s="36"/>
      <c r="E29" s="36"/>
      <c r="F29" s="36"/>
      <c r="G29" s="36"/>
      <c r="H29" s="36"/>
      <c r="I29" s="36"/>
    </row>
    <row r="30" spans="3:9" ht="8" customHeight="1" x14ac:dyDescent="0.3">
      <c r="C30" s="35"/>
      <c r="D30" s="36"/>
      <c r="E30" s="36"/>
      <c r="F30" s="36"/>
      <c r="G30" s="36"/>
      <c r="H30" s="36"/>
      <c r="I30" s="36"/>
    </row>
    <row r="31" spans="3:9" ht="24" customHeight="1" x14ac:dyDescent="0.3">
      <c r="C31" s="46" t="inlineStr">
        <is>
          <t>Original actual-date XIRR hurdles and property promote splits are retained. The investment and distribution dates drive the return calculations.</t>
        </is>
      </c>
      <c r="D31" s="47"/>
      <c r="E31" s="47"/>
      <c r="F31" s="47"/>
      <c r="G31" s="47"/>
      <c r="H31" s="47"/>
      <c r="I31" s="47"/>
    </row>
    <row r="32" spans="3:9" ht="8" customHeight="1" x14ac:dyDescent="0.3">
      <c r="C32" s="35"/>
      <c r="D32" s="36"/>
      <c r="E32" s="36"/>
      <c r="F32" s="36"/>
      <c r="G32" s="36"/>
      <c r="H32" s="36"/>
      <c r="I32" s="36"/>
    </row>
    <row r="33" spans="3:9" ht="8" customHeight="1" x14ac:dyDescent="0.3">
      <c r="C33" s="35"/>
      <c r="D33" s="36"/>
      <c r="E33" s="36"/>
      <c r="F33" s="36"/>
      <c r="G33" s="36"/>
      <c r="H33" s="36"/>
      <c r="I33" s="36"/>
    </row>
    <row r="34" spans="3:9" ht="8" customHeight="1" x14ac:dyDescent="0.3">
      <c r="C34" s="35"/>
      <c r="D34" s="36"/>
      <c r="E34" s="36"/>
      <c r="F34" s="36"/>
      <c r="G34" s="36"/>
      <c r="H34" s="36"/>
      <c r="I34" s="36"/>
    </row>
    <row r="35" spans="3:9" ht="8" customHeight="1" x14ac:dyDescent="0.3">
      <c r="C35" s="35"/>
      <c r="D35" s="36"/>
      <c r="E35" s="36"/>
      <c r="F35" s="36"/>
      <c r="G35" s="36"/>
      <c r="H35" s="36"/>
      <c r="I35" s="36"/>
    </row>
    <row r="36" spans="3:9" ht="8" customHeight="1" x14ac:dyDescent="0.3">
      <c r="C36" s="35"/>
      <c r="D36" s="36"/>
      <c r="E36" s="36"/>
      <c r="F36" s="36"/>
      <c r="G36" s="36"/>
      <c r="H36" s="36"/>
      <c r="I36" s="36"/>
    </row>
    <row r="37" spans="3:9" ht="8" customHeight="1" x14ac:dyDescent="0.3">
      <c r="C37" s="35"/>
      <c r="D37" s="36"/>
      <c r="E37" s="36"/>
      <c r="F37" s="36"/>
      <c r="G37" s="36"/>
      <c r="H37" s="36"/>
      <c r="I37" s="36"/>
    </row>
    <row r="38" spans="3:9" ht="8" customHeight="1" x14ac:dyDescent="0.3">
      <c r="C38" s="35"/>
      <c r="D38" s="36"/>
      <c r="E38" s="36"/>
      <c r="F38" s="36"/>
      <c r="G38" s="36"/>
      <c r="H38" s="36"/>
      <c r="I38" s="36"/>
    </row>
    <row r="39" spans="3:9" ht="8" customHeight="1" x14ac:dyDescent="0.3">
      <c r="C39" s="35"/>
      <c r="D39" s="36"/>
      <c r="E39" s="36"/>
      <c r="F39" s="36"/>
      <c r="G39" s="36"/>
      <c r="H39" s="36"/>
      <c r="I39" s="36"/>
    </row>
    <row r="40" spans="3:9" ht="8" customHeight="1" x14ac:dyDescent="0.3">
      <c r="C40" s="35"/>
      <c r="D40" s="36"/>
      <c r="E40" s="36"/>
      <c r="F40" s="36"/>
      <c r="G40" s="36"/>
      <c r="H40" s="36"/>
      <c r="I40" s="36"/>
    </row>
    <row r="41" spans="3:9" ht="8" customHeight="1" x14ac:dyDescent="0.3">
      <c r="C41" s="35"/>
      <c r="D41" s="36"/>
      <c r="E41" s="36"/>
      <c r="F41" s="36"/>
      <c r="G41" s="36"/>
      <c r="H41" s="36"/>
      <c r="I41" s="36"/>
    </row>
    <row r="42" spans="3:9" ht="8" customHeight="1" x14ac:dyDescent="0.3">
      <c r="C42" s="35"/>
      <c r="D42" s="36"/>
      <c r="E42" s="36"/>
      <c r="F42" s="36"/>
      <c r="G42" s="36"/>
      <c r="H42" s="36"/>
      <c r="I42" s="36"/>
    </row>
    <row r="43" spans="3:9" ht="8" customHeight="1" x14ac:dyDescent="0.3">
      <c r="C43" s="35"/>
      <c r="D43" s="36"/>
      <c r="E43" s="36"/>
      <c r="F43" s="36"/>
      <c r="G43" s="36"/>
      <c r="H43" s="36"/>
      <c r="I43" s="36"/>
    </row>
    <row r="44" spans="3:9" ht="8" customHeight="1" x14ac:dyDescent="0.3">
      <c r="C44" s="35"/>
      <c r="D44" s="36"/>
      <c r="E44" s="36"/>
      <c r="F44" s="36"/>
      <c r="G44" s="36"/>
      <c r="H44" s="36"/>
      <c r="I44" s="36"/>
    </row>
    <row r="45" spans="3:9" ht="8" customHeight="1" x14ac:dyDescent="0.3">
      <c r="C45" s="35"/>
      <c r="D45" s="36"/>
      <c r="E45" s="36"/>
      <c r="F45" s="36"/>
      <c r="G45" s="36"/>
      <c r="H45" s="36"/>
      <c r="I45" s="36"/>
    </row>
    <row r="46" spans="3:9" ht="8" customHeight="1" x14ac:dyDescent="0.3">
      <c r="C46" s="35"/>
      <c r="D46" s="36"/>
      <c r="E46" s="36"/>
      <c r="F46" s="36"/>
      <c r="G46" s="36"/>
      <c r="H46" s="36"/>
      <c r="I46" s="36"/>
    </row>
    <row r="47" spans="3:9" ht="8" customHeight="1" x14ac:dyDescent="0.3">
      <c r="C47" s="35"/>
      <c r="D47" s="36"/>
      <c r="E47" s="36"/>
      <c r="F47" s="36"/>
      <c r="G47" s="36"/>
      <c r="H47" s="36"/>
      <c r="I47" s="36"/>
    </row>
    <row r="48" spans="3:9" ht="8" customHeight="1" x14ac:dyDescent="0.3">
      <c r="C48" s="35"/>
      <c r="D48" s="36"/>
      <c r="E48" s="36"/>
      <c r="F48" s="36"/>
      <c r="G48" s="36"/>
      <c r="H48" s="36"/>
      <c r="I48" s="36"/>
    </row>
    <row r="49" spans="3:9" ht="8" customHeight="1" x14ac:dyDescent="0.3">
      <c r="C49" s="35"/>
      <c r="D49" s="36"/>
      <c r="E49" s="36"/>
      <c r="F49" s="36"/>
      <c r="G49" s="36"/>
      <c r="H49" s="36"/>
      <c r="I49" s="36"/>
    </row>
    <row r="50" spans="3:9" ht="8" customHeight="1" x14ac:dyDescent="0.3">
      <c r="C50" s="35"/>
      <c r="D50" s="36"/>
      <c r="E50" s="36"/>
      <c r="F50" s="36"/>
      <c r="G50" s="36"/>
      <c r="H50" s="36"/>
      <c r="I50" s="36"/>
    </row>
    <row r="51" spans="3:9" ht="8" customHeight="1" x14ac:dyDescent="0.3">
      <c r="C51" s="35"/>
      <c r="D51" s="36"/>
      <c r="E51" s="36"/>
      <c r="F51" s="36"/>
      <c r="G51" s="36"/>
      <c r="H51" s="36"/>
      <c r="I51" s="36"/>
    </row>
    <row r="52" spans="3:9" ht="8" customHeight="1" x14ac:dyDescent="0.3">
      <c r="C52" s="35"/>
      <c r="D52" s="36"/>
      <c r="E52" s="36"/>
      <c r="F52" s="36"/>
      <c r="G52" s="36"/>
      <c r="H52" s="36"/>
      <c r="I52" s="36"/>
    </row>
    <row r="53" spans="3:9" ht="8" customHeight="1" x14ac:dyDescent="0.3">
      <c r="C53" s="35"/>
      <c r="D53" s="36"/>
      <c r="E53" s="36"/>
      <c r="F53" s="36"/>
      <c r="G53" s="36"/>
      <c r="H53" s="36"/>
      <c r="I53" s="36"/>
    </row>
    <row r="54" spans="3:9" ht="8" customHeight="1" x14ac:dyDescent="0.3">
      <c r="C54" s="35"/>
      <c r="D54" s="36"/>
      <c r="E54" s="36"/>
      <c r="F54" s="36"/>
      <c r="G54" s="36"/>
      <c r="H54" s="36"/>
      <c r="I54" s="36"/>
    </row>
    <row r="55" spans="3:9" ht="8" customHeight="1" x14ac:dyDescent="0.3">
      <c r="C55" s="35"/>
      <c r="D55" s="36"/>
      <c r="E55" s="36"/>
      <c r="F55" s="36"/>
      <c r="G55" s="36"/>
      <c r="H55" s="36"/>
      <c r="I55" s="36"/>
    </row>
  </sheetData>
  <mergeCells count="4">
    <mergeCell ref="C2:I2"/>
    <mergeCell ref="C3:I3"/>
    <mergeCell ref="C31:I31"/>
    <mergeCell ref="C4:I4"/>
  </mergeCells>
  <pageMargins left="0.3888888888888889" right="0.3888888888888889" top="0.3888888888888889" bottom="0.3888888888888889" header="0.3" footer="0.3"/>
  <pageSetup paperSize="9" fitToHeight="1" orientation="landscape" r:id="rId1" fitToWidth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2C560-81D1-4B04-A33D-B336BD0042B8}">
  <dimension ref="B2:F34"/>
  <sheetViews>
    <sheetView showGridLines="0" workbookViewId="0" tabSelected="0">
      <selection activeCell="E17" sqref="E16:E17"/>
    </sheetView>
  </sheetViews>
  <sheetFormatPr defaultColWidth="8.6640625" defaultRowHeight="14.4" x14ac:dyDescent="0.3"/>
  <cols>
    <col min="1" max="1" width="4" customWidth="1"/>
    <col min="2" max="2" width="44" customWidth="1"/>
    <col min="3" max="6" width="18" customWidth="1"/>
  </cols>
  <sheetData>
    <row r="2" spans="2:6" ht="25.5" customHeight="1" x14ac:dyDescent="0.3">
      <c r="B2" s="48" t="s">
        <v>0</v>
      </c>
      <c r="C2" s="48"/>
      <c r="D2" s="48"/>
      <c r="E2" s="48"/>
      <c r="F2" s="48"/>
    </row>
    <row r="4" spans="2:6" ht="15" customHeight="1" x14ac:dyDescent="0.3">
      <c r="B4" s="49" t="s">
        <v>1</v>
      </c>
      <c r="C4" s="49"/>
      <c r="D4" s="49"/>
      <c r="E4" s="49"/>
      <c r="F4" s="49"/>
    </row>
    <row r="5" spans="2:6" x14ac:dyDescent="0.3">
      <c r="B5" s="1" t="s">
        <v>2</v>
      </c>
      <c r="C5" s="2">
        <v>45077</v>
      </c>
    </row>
    <row r="6" spans="2:6" x14ac:dyDescent="0.3">
      <c r="B6" s="1" t="s">
        <v>3</v>
      </c>
      <c r="C6" s="3">
        <v>6790000</v>
      </c>
    </row>
    <row r="7" spans="2:6" x14ac:dyDescent="0.3">
      <c r="B7" s="1" t="s">
        <v>4</v>
      </c>
      <c r="C7" s="2">
        <v>46022</v>
      </c>
    </row>
    <row r="9" spans="2:6" ht="15" customHeight="1" x14ac:dyDescent="0.3">
      <c r="B9" s="49" t="s">
        <v>5</v>
      </c>
      <c r="C9" s="49"/>
      <c r="D9" s="49"/>
      <c r="E9" s="49"/>
      <c r="F9" s="49"/>
    </row>
    <row r="10" spans="2:6" x14ac:dyDescent="0.3">
      <c r="B10" s="4" t="s">
        <v>6</v>
      </c>
      <c r="C10" s="4" t="s">
        <v>7</v>
      </c>
      <c r="D10" s="4" t="s">
        <v>8</v>
      </c>
    </row>
    <row r="11" spans="2:6" x14ac:dyDescent="0.3">
      <c r="B11" s="5" t="s">
        <v>9</v>
      </c>
      <c r="C11" s="6">
        <v>0.1</v>
      </c>
      <c r="D11" s="7">
        <f>C11*C6</f>
        <v>679000</v>
      </c>
    </row>
    <row r="12" spans="2:6" x14ac:dyDescent="0.3">
      <c r="B12" s="5" t="s">
        <v>10</v>
      </c>
      <c r="C12" s="6">
        <v>0.9</v>
      </c>
      <c r="D12" s="7">
        <f>C12*C6</f>
        <v>6111000</v>
      </c>
    </row>
    <row r="13" spans="2:6" x14ac:dyDescent="0.3">
      <c r="B13" s="8" t="s">
        <v>11</v>
      </c>
      <c r="C13" s="9">
        <f>SUM(C11:C12)</f>
        <v>1</v>
      </c>
      <c r="D13" s="10">
        <f>SUM(D11:D12)</f>
        <v>6790000</v>
      </c>
    </row>
    <row r="15" spans="2:6" ht="15" customHeight="1" x14ac:dyDescent="0.3">
      <c r="B15" s="49" t="s">
        <v>12</v>
      </c>
      <c r="C15" s="49"/>
      <c r="D15" s="49"/>
      <c r="E15" s="49"/>
      <c r="F15" s="49"/>
    </row>
    <row r="16" spans="2:6" x14ac:dyDescent="0.3">
      <c r="B16" s="1" t="s">
        <v>13</v>
      </c>
      <c r="C16" s="6">
        <v>0.09</v>
      </c>
      <c r="D16" s="27" t="s">
        <v>139</v>
      </c>
      <c r="E16" s="11"/>
    </row>
    <row r="17" spans="2:6" x14ac:dyDescent="0.3">
      <c r="B17" s="1" t="s">
        <v>14</v>
      </c>
      <c r="C17" s="6">
        <v>0.18</v>
      </c>
      <c r="D17" s="27" t="s">
        <v>139</v>
      </c>
      <c r="E17" s="11"/>
    </row>
    <row r="19" spans="2:6" x14ac:dyDescent="0.3">
      <c r="B19" s="1" t="s">
        <v>15</v>
      </c>
      <c r="C19" s="6">
        <v>0.75</v>
      </c>
    </row>
    <row r="20" spans="2:6" x14ac:dyDescent="0.3">
      <c r="B20" s="1" t="s">
        <v>16</v>
      </c>
      <c r="C20" s="12">
        <f>1-C19</f>
        <v>0.25</v>
      </c>
    </row>
    <row r="22" spans="2:6" x14ac:dyDescent="0.3">
      <c r="B22" s="1" t="s">
        <v>17</v>
      </c>
      <c r="C22" s="6">
        <v>0.6</v>
      </c>
    </row>
    <row r="23" spans="2:6" x14ac:dyDescent="0.3">
      <c r="B23" s="1" t="s">
        <v>18</v>
      </c>
      <c r="C23" s="12">
        <f>1-C22</f>
        <v>0.4</v>
      </c>
    </row>
    <row r="25" spans="2:6" ht="15" customHeight="1" x14ac:dyDescent="0.3">
      <c r="B25" s="49" t="s">
        <v>19</v>
      </c>
      <c r="C25" s="49"/>
      <c r="D25" s="49"/>
      <c r="E25" s="49"/>
      <c r="F25" s="49"/>
    </row>
    <row r="26" spans="2:6" x14ac:dyDescent="0.3">
      <c r="B26" s="4" t="s">
        <v>20</v>
      </c>
      <c r="C26" s="4" t="s">
        <v>7</v>
      </c>
      <c r="D26" s="4" t="s">
        <v>8</v>
      </c>
      <c r="E26" s="4" t="s">
        <v>21</v>
      </c>
      <c r="F26" s="4" t="s">
        <v>22</v>
      </c>
    </row>
    <row r="27" spans="2:6" x14ac:dyDescent="0.3">
      <c r="B27" s="5" t="s">
        <v>23</v>
      </c>
      <c r="C27" s="6">
        <v>1E-4</v>
      </c>
      <c r="D27" s="7">
        <f>C27*$C$6</f>
        <v>679</v>
      </c>
      <c r="E27" s="13" t="s">
        <v>24</v>
      </c>
      <c r="F27" s="13" t="s">
        <v>25</v>
      </c>
    </row>
    <row r="28" spans="2:6" x14ac:dyDescent="0.3">
      <c r="B28" s="5" t="s">
        <v>26</v>
      </c>
      <c r="C28" s="6">
        <v>0.05</v>
      </c>
      <c r="D28" s="7">
        <f>C28*$C$6</f>
        <v>339500</v>
      </c>
      <c r="E28" s="13" t="s">
        <v>27</v>
      </c>
      <c r="F28" s="13" t="s">
        <v>28</v>
      </c>
    </row>
    <row r="29" spans="2:6" ht="26.4" x14ac:dyDescent="0.3">
      <c r="B29" s="5" t="s">
        <v>29</v>
      </c>
      <c r="C29" s="6">
        <v>0.1951</v>
      </c>
      <c r="D29" s="7">
        <f>C29*$C$6</f>
        <v>1324729</v>
      </c>
      <c r="E29" s="13" t="s">
        <v>24</v>
      </c>
      <c r="F29" s="13" t="s">
        <v>30</v>
      </c>
    </row>
    <row r="30" spans="2:6" x14ac:dyDescent="0.3">
      <c r="B30" s="5" t="s">
        <v>31</v>
      </c>
      <c r="C30" s="6">
        <v>0.75480000000000003</v>
      </c>
      <c r="D30" s="7">
        <f>C30*$C$6</f>
        <v>5125092</v>
      </c>
      <c r="E30" s="13" t="s">
        <v>24</v>
      </c>
      <c r="F30" s="13" t="s">
        <v>32</v>
      </c>
    </row>
    <row r="31" spans="2:6" x14ac:dyDescent="0.3">
      <c r="B31" s="8" t="s">
        <v>11</v>
      </c>
      <c r="C31" s="9">
        <f>SUM(C27:C30)</f>
        <v>1</v>
      </c>
      <c r="D31" s="10">
        <f>SUM(D27:D30)</f>
        <v>6790000</v>
      </c>
    </row>
    <row r="33" spans="2:2" x14ac:dyDescent="0.3">
      <c r="B33" s="14"/>
    </row>
    <row r="34" spans="2:2" x14ac:dyDescent="0.3">
      <c r="B34" s="14"/>
    </row>
  </sheetData>
  <mergeCells count="5">
    <mergeCell ref="B2:F2"/>
    <mergeCell ref="B4:F4"/>
    <mergeCell ref="B9:F9"/>
    <mergeCell ref="B15:F15"/>
    <mergeCell ref="B25:F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F7A21-B79C-4BAC-AE93-63CCE453EDCE}">
  <dimension ref="B2:F44"/>
  <sheetViews>
    <sheetView showGridLines="0" topLeftCell="A26" workbookViewId="0" tabSelected="0">
      <selection activeCell="E34" sqref="E34"/>
    </sheetView>
  </sheetViews>
  <sheetFormatPr defaultColWidth="8.6640625" defaultRowHeight="14.4" x14ac:dyDescent="0.3"/>
  <cols>
    <col min="1" max="1" width="4" customWidth="1"/>
    <col min="2" max="2" width="9" customWidth="1"/>
    <col min="3" max="3" width="14" customWidth="1"/>
    <col min="4" max="5" width="16" customWidth="1"/>
    <col min="6" max="6" width="18" customWidth="1"/>
  </cols>
  <sheetData>
    <row r="2" spans="2:6" ht="25.5" customHeight="1" x14ac:dyDescent="0.3">
      <c r="B2" s="48" t="s">
        <v>33</v>
      </c>
      <c r="C2" s="48"/>
      <c r="D2" s="48"/>
      <c r="E2" s="48"/>
    </row>
    <row r="4" spans="2:6" ht="26.4" x14ac:dyDescent="0.3"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</row>
    <row r="5" spans="2:6" x14ac:dyDescent="0.3">
      <c r="B5" s="15">
        <v>0</v>
      </c>
      <c r="C5" s="16">
        <v>45077</v>
      </c>
      <c r="D5" s="28">
        <f>-'1. Inputs'!C6</f>
        <v>-6790000</v>
      </c>
      <c r="E5" s="29">
        <f>D5</f>
        <v>-6790000</v>
      </c>
      <c r="F5" s="5" t="s">
        <v>39</v>
      </c>
    </row>
    <row r="6" spans="2:6" x14ac:dyDescent="0.3">
      <c r="B6" s="15">
        <v>1</v>
      </c>
      <c r="C6" s="16">
        <v>45107</v>
      </c>
      <c r="D6" s="30">
        <v>0</v>
      </c>
      <c r="E6" s="29">
        <f t="shared" ref="E6:E36" si="0">E5+D6</f>
        <v>-6790000</v>
      </c>
      <c r="F6" s="5"/>
    </row>
    <row r="7" spans="2:6" x14ac:dyDescent="0.3">
      <c r="B7" s="15">
        <v>2</v>
      </c>
      <c r="C7" s="16">
        <v>45138</v>
      </c>
      <c r="D7" s="30">
        <v>0</v>
      </c>
      <c r="E7" s="29">
        <f t="shared" si="0"/>
        <v>-6790000</v>
      </c>
      <c r="F7" s="5"/>
    </row>
    <row r="8" spans="2:6" x14ac:dyDescent="0.3">
      <c r="B8" s="15">
        <v>3</v>
      </c>
      <c r="C8" s="16">
        <v>45169</v>
      </c>
      <c r="D8" s="30">
        <v>0</v>
      </c>
      <c r="E8" s="29">
        <f t="shared" si="0"/>
        <v>-6790000</v>
      </c>
      <c r="F8" s="5"/>
    </row>
    <row r="9" spans="2:6" x14ac:dyDescent="0.3">
      <c r="B9" s="15">
        <v>4</v>
      </c>
      <c r="C9" s="16">
        <v>45199</v>
      </c>
      <c r="D9" s="30">
        <v>0</v>
      </c>
      <c r="E9" s="29">
        <f t="shared" si="0"/>
        <v>-6790000</v>
      </c>
      <c r="F9" s="5"/>
    </row>
    <row r="10" spans="2:6" x14ac:dyDescent="0.3">
      <c r="B10" s="15">
        <v>5</v>
      </c>
      <c r="C10" s="16">
        <v>45230</v>
      </c>
      <c r="D10" s="30">
        <v>400000</v>
      </c>
      <c r="E10" s="29">
        <f t="shared" si="0"/>
        <v>-6390000</v>
      </c>
      <c r="F10" s="5" t="s">
        <v>40</v>
      </c>
    </row>
    <row r="11" spans="2:6" x14ac:dyDescent="0.3">
      <c r="B11" s="15">
        <v>6</v>
      </c>
      <c r="C11" s="16">
        <v>45260</v>
      </c>
      <c r="D11" s="30">
        <v>0</v>
      </c>
      <c r="E11" s="29">
        <f t="shared" si="0"/>
        <v>-6390000</v>
      </c>
      <c r="F11" s="5"/>
    </row>
    <row r="12" spans="2:6" x14ac:dyDescent="0.3">
      <c r="B12" s="15">
        <v>7</v>
      </c>
      <c r="C12" s="16">
        <v>45291</v>
      </c>
      <c r="D12" s="30">
        <v>0</v>
      </c>
      <c r="E12" s="29">
        <f t="shared" si="0"/>
        <v>-6390000</v>
      </c>
      <c r="F12" s="5"/>
    </row>
    <row r="13" spans="2:6" x14ac:dyDescent="0.3">
      <c r="B13" s="15">
        <v>8</v>
      </c>
      <c r="C13" s="16">
        <v>45322</v>
      </c>
      <c r="D13" s="30">
        <v>100000</v>
      </c>
      <c r="E13" s="29">
        <f t="shared" si="0"/>
        <v>-6290000</v>
      </c>
      <c r="F13" s="5" t="s">
        <v>40</v>
      </c>
    </row>
    <row r="14" spans="2:6" x14ac:dyDescent="0.3">
      <c r="B14" s="15">
        <v>9</v>
      </c>
      <c r="C14" s="16">
        <v>45351</v>
      </c>
      <c r="D14" s="30">
        <v>0</v>
      </c>
      <c r="E14" s="29">
        <f t="shared" si="0"/>
        <v>-6290000</v>
      </c>
      <c r="F14" s="5"/>
    </row>
    <row r="15" spans="2:6" x14ac:dyDescent="0.3">
      <c r="B15" s="15">
        <v>10</v>
      </c>
      <c r="C15" s="16">
        <v>45382</v>
      </c>
      <c r="D15" s="30">
        <v>0</v>
      </c>
      <c r="E15" s="29">
        <f t="shared" si="0"/>
        <v>-6290000</v>
      </c>
      <c r="F15" s="5"/>
    </row>
    <row r="16" spans="2:6" x14ac:dyDescent="0.3">
      <c r="B16" s="15">
        <v>11</v>
      </c>
      <c r="C16" s="16">
        <v>45412</v>
      </c>
      <c r="D16" s="30">
        <v>0</v>
      </c>
      <c r="E16" s="29">
        <f t="shared" si="0"/>
        <v>-6290000</v>
      </c>
      <c r="F16" s="5"/>
    </row>
    <row r="17" spans="2:6" x14ac:dyDescent="0.3">
      <c r="B17" s="15">
        <v>12</v>
      </c>
      <c r="C17" s="16">
        <v>45443</v>
      </c>
      <c r="D17" s="30">
        <v>200000</v>
      </c>
      <c r="E17" s="29">
        <f t="shared" si="0"/>
        <v>-6090000</v>
      </c>
      <c r="F17" s="5" t="s">
        <v>40</v>
      </c>
    </row>
    <row r="18" spans="2:6" x14ac:dyDescent="0.3">
      <c r="B18" s="15">
        <v>13</v>
      </c>
      <c r="C18" s="16">
        <v>45473</v>
      </c>
      <c r="D18" s="30">
        <v>0</v>
      </c>
      <c r="E18" s="29">
        <f t="shared" si="0"/>
        <v>-6090000</v>
      </c>
      <c r="F18" s="5"/>
    </row>
    <row r="19" spans="2:6" x14ac:dyDescent="0.3">
      <c r="B19" s="15">
        <v>14</v>
      </c>
      <c r="C19" s="16">
        <v>45504</v>
      </c>
      <c r="D19" s="30">
        <v>225000</v>
      </c>
      <c r="E19" s="29">
        <f t="shared" si="0"/>
        <v>-5865000</v>
      </c>
      <c r="F19" s="5" t="s">
        <v>40</v>
      </c>
    </row>
    <row r="20" spans="2:6" x14ac:dyDescent="0.3">
      <c r="B20" s="15">
        <v>15</v>
      </c>
      <c r="C20" s="16">
        <v>45535</v>
      </c>
      <c r="D20" s="30">
        <v>0</v>
      </c>
      <c r="E20" s="29">
        <f t="shared" si="0"/>
        <v>-5865000</v>
      </c>
      <c r="F20" s="5"/>
    </row>
    <row r="21" spans="2:6" x14ac:dyDescent="0.3">
      <c r="B21" s="15">
        <v>16</v>
      </c>
      <c r="C21" s="16">
        <v>45565</v>
      </c>
      <c r="D21" s="30">
        <v>0</v>
      </c>
      <c r="E21" s="29">
        <f t="shared" si="0"/>
        <v>-5865000</v>
      </c>
      <c r="F21" s="5"/>
    </row>
    <row r="22" spans="2:6" x14ac:dyDescent="0.3">
      <c r="B22" s="15">
        <v>17</v>
      </c>
      <c r="C22" s="16">
        <v>45596</v>
      </c>
      <c r="D22" s="30">
        <v>250000</v>
      </c>
      <c r="E22" s="29">
        <f t="shared" si="0"/>
        <v>-5615000</v>
      </c>
      <c r="F22" s="5" t="s">
        <v>40</v>
      </c>
    </row>
    <row r="23" spans="2:6" x14ac:dyDescent="0.3">
      <c r="B23" s="15">
        <v>18</v>
      </c>
      <c r="C23" s="16">
        <v>45626</v>
      </c>
      <c r="D23" s="30">
        <v>0</v>
      </c>
      <c r="E23" s="29">
        <f t="shared" si="0"/>
        <v>-5615000</v>
      </c>
      <c r="F23" s="5"/>
    </row>
    <row r="24" spans="2:6" x14ac:dyDescent="0.3">
      <c r="B24" s="15">
        <v>19</v>
      </c>
      <c r="C24" s="16">
        <v>45657</v>
      </c>
      <c r="D24" s="30">
        <v>0</v>
      </c>
      <c r="E24" s="29">
        <f t="shared" si="0"/>
        <v>-5615000</v>
      </c>
      <c r="F24" s="5"/>
    </row>
    <row r="25" spans="2:6" x14ac:dyDescent="0.3">
      <c r="B25" s="15">
        <v>20</v>
      </c>
      <c r="C25" s="16">
        <v>45688</v>
      </c>
      <c r="D25" s="30">
        <v>250000</v>
      </c>
      <c r="E25" s="29">
        <f t="shared" si="0"/>
        <v>-5365000</v>
      </c>
      <c r="F25" s="5" t="s">
        <v>40</v>
      </c>
    </row>
    <row r="26" spans="2:6" x14ac:dyDescent="0.3">
      <c r="B26" s="15">
        <v>21</v>
      </c>
      <c r="C26" s="16">
        <v>45716</v>
      </c>
      <c r="D26" s="30">
        <v>0</v>
      </c>
      <c r="E26" s="29">
        <f t="shared" si="0"/>
        <v>-5365000</v>
      </c>
      <c r="F26" s="5"/>
    </row>
    <row r="27" spans="2:6" x14ac:dyDescent="0.3">
      <c r="B27" s="15">
        <v>22</v>
      </c>
      <c r="C27" s="16">
        <v>45747</v>
      </c>
      <c r="D27" s="30">
        <v>0</v>
      </c>
      <c r="E27" s="29">
        <f t="shared" si="0"/>
        <v>-5365000</v>
      </c>
      <c r="F27" s="5"/>
    </row>
    <row r="28" spans="2:6" x14ac:dyDescent="0.3">
      <c r="B28" s="15">
        <v>23</v>
      </c>
      <c r="C28" s="16">
        <v>45777</v>
      </c>
      <c r="D28" s="30">
        <v>350000</v>
      </c>
      <c r="E28" s="29">
        <f t="shared" si="0"/>
        <v>-5015000</v>
      </c>
      <c r="F28" s="5" t="s">
        <v>40</v>
      </c>
    </row>
    <row r="29" spans="2:6" x14ac:dyDescent="0.3">
      <c r="B29" s="15">
        <v>24</v>
      </c>
      <c r="C29" s="16">
        <v>45808</v>
      </c>
      <c r="D29" s="30">
        <v>0</v>
      </c>
      <c r="E29" s="29">
        <f t="shared" si="0"/>
        <v>-5015000</v>
      </c>
      <c r="F29" s="5"/>
    </row>
    <row r="30" spans="2:6" x14ac:dyDescent="0.3">
      <c r="B30" s="15">
        <v>25</v>
      </c>
      <c r="C30" s="16">
        <v>45838</v>
      </c>
      <c r="D30" s="30">
        <v>0</v>
      </c>
      <c r="E30" s="29">
        <f t="shared" si="0"/>
        <v>-5015000</v>
      </c>
      <c r="F30" s="5"/>
    </row>
    <row r="31" spans="2:6" x14ac:dyDescent="0.3">
      <c r="B31" s="15">
        <v>26</v>
      </c>
      <c r="C31" s="16">
        <v>45869</v>
      </c>
      <c r="D31" s="30">
        <v>300000</v>
      </c>
      <c r="E31" s="29">
        <f t="shared" si="0"/>
        <v>-4715000</v>
      </c>
      <c r="F31" s="5" t="s">
        <v>40</v>
      </c>
    </row>
    <row r="32" spans="2:6" x14ac:dyDescent="0.3">
      <c r="B32" s="15">
        <v>27</v>
      </c>
      <c r="C32" s="16">
        <v>45900</v>
      </c>
      <c r="D32" s="30">
        <v>0</v>
      </c>
      <c r="E32" s="29">
        <f t="shared" si="0"/>
        <v>-4715000</v>
      </c>
      <c r="F32" s="5"/>
    </row>
    <row r="33" spans="2:6" x14ac:dyDescent="0.3">
      <c r="B33" s="15">
        <v>28</v>
      </c>
      <c r="C33" s="16">
        <v>45930</v>
      </c>
      <c r="D33" s="30">
        <v>0</v>
      </c>
      <c r="E33" s="29">
        <f t="shared" si="0"/>
        <v>-4715000</v>
      </c>
      <c r="F33" s="5"/>
    </row>
    <row r="34" spans="2:6" x14ac:dyDescent="0.3">
      <c r="B34" s="15">
        <v>29</v>
      </c>
      <c r="C34" s="16">
        <v>45961</v>
      </c>
      <c r="D34" s="30">
        <v>50000</v>
      </c>
      <c r="E34" s="29">
        <f t="shared" si="0"/>
        <v>-4665000</v>
      </c>
      <c r="F34" s="5" t="s">
        <v>40</v>
      </c>
    </row>
    <row r="35" spans="2:6" x14ac:dyDescent="0.3">
      <c r="B35" s="15">
        <v>30</v>
      </c>
      <c r="C35" s="16">
        <v>45991</v>
      </c>
      <c r="D35" s="30">
        <v>0</v>
      </c>
      <c r="E35" s="29">
        <f t="shared" si="0"/>
        <v>-4665000</v>
      </c>
      <c r="F35" s="5"/>
    </row>
    <row r="36" spans="2:6" x14ac:dyDescent="0.3">
      <c r="B36" s="15">
        <v>31</v>
      </c>
      <c r="C36" s="16">
        <v>46022</v>
      </c>
      <c r="D36" s="30">
        <v>9951466</v>
      </c>
      <c r="E36" s="29">
        <f t="shared" si="0"/>
        <v>5286466</v>
      </c>
      <c r="F36" s="5" t="s">
        <v>40</v>
      </c>
    </row>
    <row r="37" spans="2:6" x14ac:dyDescent="0.3">
      <c r="B37" s="8" t="s">
        <v>11</v>
      </c>
      <c r="C37" s="18"/>
      <c r="D37" s="31">
        <f>SUM(D6:D36)</f>
        <v>12076466</v>
      </c>
      <c r="E37" s="31">
        <f>E36</f>
        <v>5286466</v>
      </c>
      <c r="F37" s="8" t="s">
        <v>41</v>
      </c>
    </row>
    <row r="38" spans="2:6" x14ac:dyDescent="0.3">
      <c r="D38" s="32"/>
      <c r="E38" s="32"/>
    </row>
    <row r="39" spans="2:6" ht="15" customHeight="1" x14ac:dyDescent="0.3">
      <c r="B39" s="49" t="s">
        <v>42</v>
      </c>
      <c r="C39" s="49"/>
      <c r="D39" s="50"/>
      <c r="E39" s="50"/>
      <c r="F39" s="49"/>
    </row>
    <row r="40" spans="2:6" ht="39.6" x14ac:dyDescent="0.3">
      <c r="B40" s="1" t="s">
        <v>3</v>
      </c>
      <c r="C40" s="17">
        <f>'1. Inputs'!C6</f>
        <v>6790000</v>
      </c>
      <c r="D40" s="32"/>
      <c r="E40" s="32"/>
    </row>
    <row r="41" spans="2:6" ht="39.6" x14ac:dyDescent="0.3">
      <c r="B41" s="1" t="s">
        <v>43</v>
      </c>
      <c r="C41" s="7">
        <f>D37</f>
        <v>12076466</v>
      </c>
      <c r="D41" s="32"/>
      <c r="E41" s="32"/>
    </row>
    <row r="42" spans="2:6" ht="26.4" x14ac:dyDescent="0.3">
      <c r="B42" s="1" t="s">
        <v>44</v>
      </c>
      <c r="C42" s="7">
        <f>C41-C40</f>
        <v>5286466</v>
      </c>
      <c r="D42" s="32"/>
      <c r="E42" s="32"/>
    </row>
    <row r="43" spans="2:6" ht="39.6" x14ac:dyDescent="0.3">
      <c r="B43" s="1" t="s">
        <v>45</v>
      </c>
      <c r="C43" s="12">
        <f>XIRR(D5:D36, C5:C36)</f>
        <v>0.27954488396644595</v>
      </c>
      <c r="D43" s="32"/>
      <c r="E43" s="32"/>
    </row>
    <row r="44" spans="2:6" ht="26.4" x14ac:dyDescent="0.3">
      <c r="B44" s="1" t="s">
        <v>46</v>
      </c>
      <c r="C44" s="19">
        <f>C41/C40</f>
        <v>1.7785664212076584</v>
      </c>
      <c r="D44" s="32"/>
      <c r="E44" s="32"/>
    </row>
  </sheetData>
  <mergeCells count="2">
    <mergeCell ref="B2:E2"/>
    <mergeCell ref="B39:F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E2D23-35B9-4C6D-8507-9AB6FB14C5B7}">
  <dimension ref="B2:T47"/>
  <sheetViews>
    <sheetView showGridLines="0" topLeftCell="A8" zoomScale="56" workbookViewId="0" tabSelected="0"/>
  </sheetViews>
  <sheetFormatPr defaultColWidth="8.6640625" defaultRowHeight="14.4" x14ac:dyDescent="0.3"/>
  <cols>
    <col min="1" max="1" width="4" customWidth="1"/>
    <col min="2" max="2" width="7" customWidth="1"/>
    <col min="3" max="3" width="11.44140625" customWidth="1"/>
    <col min="4" max="4" width="13" customWidth="1"/>
    <col min="5" max="5" width="14" customWidth="1"/>
    <col min="6" max="6" width="12" customWidth="1"/>
    <col min="7" max="7" width="14" customWidth="1"/>
    <col min="8" max="8" width="13" customWidth="1"/>
    <col min="9" max="17" width="14" customWidth="1"/>
    <col min="18" max="18" width="11" customWidth="1"/>
    <col min="19" max="20" width="14" customWidth="1"/>
  </cols>
  <sheetData>
    <row r="2" spans="2:20" ht="25.5" customHeight="1" x14ac:dyDescent="0.3">
      <c r="B2" s="48" t="s">
        <v>140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2:20" ht="15" customHeight="1" x14ac:dyDescent="0.3">
      <c r="E3" s="51" t="s">
        <v>47</v>
      </c>
      <c r="F3" s="51"/>
      <c r="G3" s="51"/>
      <c r="H3" s="51"/>
      <c r="I3" s="51"/>
      <c r="J3" s="51" t="s">
        <v>48</v>
      </c>
      <c r="K3" s="51"/>
      <c r="L3" s="51"/>
      <c r="M3" s="51"/>
      <c r="N3" s="51" t="s">
        <v>49</v>
      </c>
      <c r="O3" s="51"/>
      <c r="P3" s="51"/>
      <c r="Q3" s="51"/>
    </row>
    <row r="4" spans="2:20" ht="26.4" x14ac:dyDescent="0.3">
      <c r="B4" s="4" t="s">
        <v>50</v>
      </c>
      <c r="C4" s="4" t="s">
        <v>35</v>
      </c>
      <c r="D4" s="4" t="s">
        <v>51</v>
      </c>
      <c r="E4" s="4" t="s">
        <v>52</v>
      </c>
      <c r="F4" s="4" t="s">
        <v>53</v>
      </c>
      <c r="G4" s="4" t="s">
        <v>54</v>
      </c>
      <c r="H4" s="4" t="s">
        <v>55</v>
      </c>
      <c r="I4" s="4" t="s">
        <v>56</v>
      </c>
      <c r="J4" s="4" t="s">
        <v>57</v>
      </c>
      <c r="K4" s="4" t="s">
        <v>58</v>
      </c>
      <c r="L4" s="4" t="s">
        <v>59</v>
      </c>
      <c r="M4" s="4" t="s">
        <v>60</v>
      </c>
      <c r="N4" s="4" t="s">
        <v>61</v>
      </c>
      <c r="O4" s="4" t="s">
        <v>62</v>
      </c>
      <c r="P4" s="4" t="s">
        <v>63</v>
      </c>
      <c r="Q4" s="4" t="s">
        <v>64</v>
      </c>
      <c r="R4" s="4" t="s">
        <v>65</v>
      </c>
      <c r="S4" s="4" t="s">
        <v>66</v>
      </c>
      <c r="T4" s="4" t="s">
        <v>67</v>
      </c>
    </row>
    <row r="5" spans="2:20" x14ac:dyDescent="0.3">
      <c r="B5" s="15">
        <f>'2. Monthly CF'!B5</f>
        <v>0</v>
      </c>
      <c r="C5" s="20">
        <f>'2. Monthly CF'!C5</f>
        <v>45077</v>
      </c>
      <c r="D5" s="28">
        <f>MAX(0,'2. Monthly CF'!D5)</f>
        <v>0</v>
      </c>
      <c r="E5" s="28">
        <f>'1. Inputs'!$C$6</f>
        <v>6790000</v>
      </c>
      <c r="F5" s="29">
        <f>0</f>
        <v>0</v>
      </c>
      <c r="G5" s="29">
        <f t="shared" ref="G5:G36" si="0">E5+F5</f>
        <v>6790000</v>
      </c>
      <c r="H5" s="29">
        <f t="shared" ref="H5:H36" si="1">MIN(D5,G5)</f>
        <v>0</v>
      </c>
      <c r="I5" s="29">
        <f t="shared" ref="I5:I36" si="2">G5-H5</f>
        <v>6790000</v>
      </c>
      <c r="J5" s="29">
        <f t="shared" ref="J5:J36" si="3">MAX(0,D5-H5)</f>
        <v>0</v>
      </c>
      <c r="K5" s="29">
        <f>J5*'1. Inputs'!$C$19</f>
        <v>0</v>
      </c>
      <c r="L5" s="29">
        <f>J5*'1. Inputs'!$C$20</f>
        <v>0</v>
      </c>
      <c r="M5" s="7">
        <f t="shared" ref="M5:M36" si="4">ROUND(D5-H5-K5-L5,2)</f>
        <v>0</v>
      </c>
      <c r="N5" s="29">
        <f>(H5+K5)*'1. Inputs'!$C$12</f>
        <v>0</v>
      </c>
      <c r="O5" s="29">
        <f>(H5+K5)*'1. Inputs'!$C$11</f>
        <v>0</v>
      </c>
      <c r="P5" s="29">
        <f t="shared" ref="P5:P36" si="5">L5</f>
        <v>0</v>
      </c>
      <c r="Q5" s="29">
        <f t="shared" ref="Q5:Q36" si="6">O5+P5</f>
        <v>0</v>
      </c>
      <c r="R5" s="7">
        <f t="shared" ref="R5:R36" si="7">ROUND(N5+Q5-D5,2)</f>
        <v>0</v>
      </c>
      <c r="S5" s="29">
        <f>-'1. Inputs'!$D$11+Q5</f>
        <v>-679000</v>
      </c>
      <c r="T5" s="29">
        <f>-'1. Inputs'!$D$12+N5</f>
        <v>-6111000</v>
      </c>
    </row>
    <row r="6" spans="2:20" x14ac:dyDescent="0.3">
      <c r="B6" s="15">
        <f>'2. Monthly CF'!B6</f>
        <v>1</v>
      </c>
      <c r="C6" s="20">
        <f>'2. Monthly CF'!C6</f>
        <v>45107</v>
      </c>
      <c r="D6" s="28">
        <f>MAX(0,'2. Monthly CF'!D6)</f>
        <v>0</v>
      </c>
      <c r="E6" s="29">
        <f t="shared" ref="E6:E36" si="8">I5</f>
        <v>6790000</v>
      </c>
      <c r="F6" s="29">
        <f>E6*((1+'1. Inputs'!$C$16)^((C6-C5)/365)-1)</f>
        <v>48264.968571003068</v>
      </c>
      <c r="G6" s="29">
        <f t="shared" si="0"/>
        <v>6838264.9685710035</v>
      </c>
      <c r="H6" s="29">
        <f t="shared" si="1"/>
        <v>0</v>
      </c>
      <c r="I6" s="29">
        <f t="shared" si="2"/>
        <v>6838264.9685710035</v>
      </c>
      <c r="J6" s="29">
        <f t="shared" si="3"/>
        <v>0</v>
      </c>
      <c r="K6" s="29">
        <f>J6*'1. Inputs'!$C$19</f>
        <v>0</v>
      </c>
      <c r="L6" s="29">
        <f>J6*'1. Inputs'!$C$20</f>
        <v>0</v>
      </c>
      <c r="M6" s="7">
        <f t="shared" si="4"/>
        <v>0</v>
      </c>
      <c r="N6" s="29">
        <f>(H6+K6)*'1. Inputs'!$C$12</f>
        <v>0</v>
      </c>
      <c r="O6" s="29">
        <f>(H6+K6)*'1. Inputs'!$C$11</f>
        <v>0</v>
      </c>
      <c r="P6" s="29">
        <f t="shared" si="5"/>
        <v>0</v>
      </c>
      <c r="Q6" s="29">
        <f t="shared" si="6"/>
        <v>0</v>
      </c>
      <c r="R6" s="7">
        <f t="shared" si="7"/>
        <v>0</v>
      </c>
      <c r="S6" s="29">
        <f t="shared" ref="S6:S36" si="9">Q6</f>
        <v>0</v>
      </c>
      <c r="T6" s="29">
        <f t="shared" ref="T6:T36" si="10">N6</f>
        <v>0</v>
      </c>
    </row>
    <row r="7" spans="2:20" x14ac:dyDescent="0.3">
      <c r="B7" s="15">
        <f>'2. Monthly CF'!B7</f>
        <v>2</v>
      </c>
      <c r="C7" s="20">
        <f>'2. Monthly CF'!C7</f>
        <v>45138</v>
      </c>
      <c r="D7" s="28">
        <f>MAX(0,'2. Monthly CF'!D7)</f>
        <v>0</v>
      </c>
      <c r="E7" s="29">
        <f t="shared" si="8"/>
        <v>6838264.9685710035</v>
      </c>
      <c r="F7" s="29">
        <f>E7*((1+'1. Inputs'!$C$16)^((C7-C6)/365)-1)</f>
        <v>50234.252944677304</v>
      </c>
      <c r="G7" s="29">
        <f t="shared" si="0"/>
        <v>6888499.2215156807</v>
      </c>
      <c r="H7" s="29">
        <f t="shared" si="1"/>
        <v>0</v>
      </c>
      <c r="I7" s="29">
        <f t="shared" si="2"/>
        <v>6888499.2215156807</v>
      </c>
      <c r="J7" s="29">
        <f t="shared" si="3"/>
        <v>0</v>
      </c>
      <c r="K7" s="29">
        <f>J7*'1. Inputs'!$C$19</f>
        <v>0</v>
      </c>
      <c r="L7" s="29">
        <f>J7*'1. Inputs'!$C$20</f>
        <v>0</v>
      </c>
      <c r="M7" s="7">
        <f t="shared" si="4"/>
        <v>0</v>
      </c>
      <c r="N7" s="29">
        <f>(H7+K7)*'1. Inputs'!$C$12</f>
        <v>0</v>
      </c>
      <c r="O7" s="29">
        <f>(H7+K7)*'1. Inputs'!$C$11</f>
        <v>0</v>
      </c>
      <c r="P7" s="29">
        <f t="shared" si="5"/>
        <v>0</v>
      </c>
      <c r="Q7" s="29">
        <f t="shared" si="6"/>
        <v>0</v>
      </c>
      <c r="R7" s="7">
        <f t="shared" si="7"/>
        <v>0</v>
      </c>
      <c r="S7" s="29">
        <f t="shared" si="9"/>
        <v>0</v>
      </c>
      <c r="T7" s="29">
        <f t="shared" si="10"/>
        <v>0</v>
      </c>
    </row>
    <row r="8" spans="2:20" x14ac:dyDescent="0.3">
      <c r="B8" s="15">
        <f>'2. Monthly CF'!B8</f>
        <v>3</v>
      </c>
      <c r="C8" s="20">
        <f>'2. Monthly CF'!C8</f>
        <v>45169</v>
      </c>
      <c r="D8" s="28">
        <f>MAX(0,'2. Monthly CF'!D8)</f>
        <v>0</v>
      </c>
      <c r="E8" s="29">
        <f t="shared" si="8"/>
        <v>6888499.2215156807</v>
      </c>
      <c r="F8" s="29">
        <f>E8*((1+'1. Inputs'!$C$16)^((C8-C7)/365)-1)</f>
        <v>50603.276400262585</v>
      </c>
      <c r="G8" s="29">
        <f t="shared" si="0"/>
        <v>6939102.4979159432</v>
      </c>
      <c r="H8" s="29">
        <f t="shared" si="1"/>
        <v>0</v>
      </c>
      <c r="I8" s="29">
        <f t="shared" si="2"/>
        <v>6939102.4979159432</v>
      </c>
      <c r="J8" s="29">
        <f t="shared" si="3"/>
        <v>0</v>
      </c>
      <c r="K8" s="29">
        <f>J8*'1. Inputs'!$C$19</f>
        <v>0</v>
      </c>
      <c r="L8" s="29">
        <f>J8*'1. Inputs'!$C$20</f>
        <v>0</v>
      </c>
      <c r="M8" s="7">
        <f t="shared" si="4"/>
        <v>0</v>
      </c>
      <c r="N8" s="29">
        <f>(H8+K8)*'1. Inputs'!$C$12</f>
        <v>0</v>
      </c>
      <c r="O8" s="29">
        <f>(H8+K8)*'1. Inputs'!$C$11</f>
        <v>0</v>
      </c>
      <c r="P8" s="29">
        <f t="shared" si="5"/>
        <v>0</v>
      </c>
      <c r="Q8" s="29">
        <f t="shared" si="6"/>
        <v>0</v>
      </c>
      <c r="R8" s="7">
        <f t="shared" si="7"/>
        <v>0</v>
      </c>
      <c r="S8" s="29">
        <f t="shared" si="9"/>
        <v>0</v>
      </c>
      <c r="T8" s="29">
        <f t="shared" si="10"/>
        <v>0</v>
      </c>
    </row>
    <row r="9" spans="2:20" x14ac:dyDescent="0.3">
      <c r="B9" s="15">
        <f>'2. Monthly CF'!B9</f>
        <v>4</v>
      </c>
      <c r="C9" s="20">
        <f>'2. Monthly CF'!C9</f>
        <v>45199</v>
      </c>
      <c r="D9" s="28">
        <f>MAX(0,'2. Monthly CF'!D9)</f>
        <v>0</v>
      </c>
      <c r="E9" s="29">
        <f t="shared" si="8"/>
        <v>6939102.4979159432</v>
      </c>
      <c r="F9" s="29">
        <f>E9*((1+'1. Inputs'!$C$16)^((C9-C8)/365)-1)</f>
        <v>49324.825327375831</v>
      </c>
      <c r="G9" s="29">
        <f t="shared" si="0"/>
        <v>6988427.3232433191</v>
      </c>
      <c r="H9" s="29">
        <f t="shared" si="1"/>
        <v>0</v>
      </c>
      <c r="I9" s="29">
        <f t="shared" si="2"/>
        <v>6988427.3232433191</v>
      </c>
      <c r="J9" s="29">
        <f t="shared" si="3"/>
        <v>0</v>
      </c>
      <c r="K9" s="29">
        <f>J9*'1. Inputs'!$C$19</f>
        <v>0</v>
      </c>
      <c r="L9" s="29">
        <f>J9*'1. Inputs'!$C$20</f>
        <v>0</v>
      </c>
      <c r="M9" s="7">
        <f t="shared" si="4"/>
        <v>0</v>
      </c>
      <c r="N9" s="29">
        <f>(H9+K9)*'1. Inputs'!$C$12</f>
        <v>0</v>
      </c>
      <c r="O9" s="29">
        <f>(H9+K9)*'1. Inputs'!$C$11</f>
        <v>0</v>
      </c>
      <c r="P9" s="29">
        <f t="shared" si="5"/>
        <v>0</v>
      </c>
      <c r="Q9" s="29">
        <f t="shared" si="6"/>
        <v>0</v>
      </c>
      <c r="R9" s="7">
        <f t="shared" si="7"/>
        <v>0</v>
      </c>
      <c r="S9" s="29">
        <f t="shared" si="9"/>
        <v>0</v>
      </c>
      <c r="T9" s="29">
        <f t="shared" si="10"/>
        <v>0</v>
      </c>
    </row>
    <row r="10" spans="2:20" x14ac:dyDescent="0.3">
      <c r="B10" s="15">
        <f>'2. Monthly CF'!B10</f>
        <v>5</v>
      </c>
      <c r="C10" s="20">
        <f>'2. Monthly CF'!C10</f>
        <v>45230</v>
      </c>
      <c r="D10" s="28">
        <f>MAX(0,'2. Monthly CF'!D10)</f>
        <v>400000</v>
      </c>
      <c r="E10" s="29">
        <f t="shared" si="8"/>
        <v>6988427.3232433191</v>
      </c>
      <c r="F10" s="29">
        <f>E10*((1+'1. Inputs'!$C$16)^((C10-C9)/365)-1)</f>
        <v>51337.353474131312</v>
      </c>
      <c r="G10" s="29">
        <f t="shared" si="0"/>
        <v>7039764.6767174499</v>
      </c>
      <c r="H10" s="29">
        <f t="shared" si="1"/>
        <v>400000</v>
      </c>
      <c r="I10" s="29">
        <f t="shared" si="2"/>
        <v>6639764.6767174499</v>
      </c>
      <c r="J10" s="29">
        <f t="shared" si="3"/>
        <v>0</v>
      </c>
      <c r="K10" s="29">
        <f>J10*'1. Inputs'!$C$19</f>
        <v>0</v>
      </c>
      <c r="L10" s="29">
        <f>J10*'1. Inputs'!$C$20</f>
        <v>0</v>
      </c>
      <c r="M10" s="7">
        <f t="shared" si="4"/>
        <v>0</v>
      </c>
      <c r="N10" s="29">
        <f>(H10+K10)*'1. Inputs'!$C$12</f>
        <v>360000</v>
      </c>
      <c r="O10" s="29">
        <f>(H10+K10)*'1. Inputs'!$C$11</f>
        <v>40000</v>
      </c>
      <c r="P10" s="29">
        <f t="shared" si="5"/>
        <v>0</v>
      </c>
      <c r="Q10" s="29">
        <f t="shared" si="6"/>
        <v>40000</v>
      </c>
      <c r="R10" s="7">
        <f t="shared" si="7"/>
        <v>0</v>
      </c>
      <c r="S10" s="29">
        <f t="shared" si="9"/>
        <v>40000</v>
      </c>
      <c r="T10" s="29">
        <f t="shared" si="10"/>
        <v>360000</v>
      </c>
    </row>
    <row r="11" spans="2:20" x14ac:dyDescent="0.3">
      <c r="B11" s="15">
        <f>'2. Monthly CF'!B11</f>
        <v>6</v>
      </c>
      <c r="C11" s="20">
        <f>'2. Monthly CF'!C11</f>
        <v>45260</v>
      </c>
      <c r="D11" s="28">
        <f>MAX(0,'2. Monthly CF'!D11)</f>
        <v>0</v>
      </c>
      <c r="E11" s="29">
        <f t="shared" si="8"/>
        <v>6639764.6767174499</v>
      </c>
      <c r="F11" s="29">
        <f>E11*((1+'1. Inputs'!$C$16)^((C11-C10)/365)-1)</f>
        <v>47197.059416881311</v>
      </c>
      <c r="G11" s="29">
        <f t="shared" si="0"/>
        <v>6686961.7361343317</v>
      </c>
      <c r="H11" s="29">
        <f t="shared" si="1"/>
        <v>0</v>
      </c>
      <c r="I11" s="29">
        <f t="shared" si="2"/>
        <v>6686961.7361343317</v>
      </c>
      <c r="J11" s="29">
        <f t="shared" si="3"/>
        <v>0</v>
      </c>
      <c r="K11" s="29">
        <f>J11*'1. Inputs'!$C$19</f>
        <v>0</v>
      </c>
      <c r="L11" s="29">
        <f>J11*'1. Inputs'!$C$20</f>
        <v>0</v>
      </c>
      <c r="M11" s="7">
        <f t="shared" si="4"/>
        <v>0</v>
      </c>
      <c r="N11" s="29">
        <f>(H11+K11)*'1. Inputs'!$C$12</f>
        <v>0</v>
      </c>
      <c r="O11" s="29">
        <f>(H11+K11)*'1. Inputs'!$C$11</f>
        <v>0</v>
      </c>
      <c r="P11" s="29">
        <f t="shared" si="5"/>
        <v>0</v>
      </c>
      <c r="Q11" s="29">
        <f t="shared" si="6"/>
        <v>0</v>
      </c>
      <c r="R11" s="7">
        <f t="shared" si="7"/>
        <v>0</v>
      </c>
      <c r="S11" s="29">
        <f t="shared" si="9"/>
        <v>0</v>
      </c>
      <c r="T11" s="29">
        <f t="shared" si="10"/>
        <v>0</v>
      </c>
    </row>
    <row r="12" spans="2:20" x14ac:dyDescent="0.3">
      <c r="B12" s="15">
        <f>'2. Monthly CF'!B12</f>
        <v>7</v>
      </c>
      <c r="C12" s="20">
        <f>'2. Monthly CF'!C12</f>
        <v>45291</v>
      </c>
      <c r="D12" s="28">
        <f>MAX(0,'2. Monthly CF'!D12)</f>
        <v>0</v>
      </c>
      <c r="E12" s="29">
        <f t="shared" si="8"/>
        <v>6686961.7361343317</v>
      </c>
      <c r="F12" s="29">
        <f>E12*((1+'1. Inputs'!$C$16)^((C12-C11)/365)-1)</f>
        <v>49122.771467357568</v>
      </c>
      <c r="G12" s="29">
        <f t="shared" si="0"/>
        <v>6736084.5076016895</v>
      </c>
      <c r="H12" s="29">
        <f t="shared" si="1"/>
        <v>0</v>
      </c>
      <c r="I12" s="29">
        <f t="shared" si="2"/>
        <v>6736084.5076016895</v>
      </c>
      <c r="J12" s="29">
        <f t="shared" si="3"/>
        <v>0</v>
      </c>
      <c r="K12" s="29">
        <f>J12*'1. Inputs'!$C$19</f>
        <v>0</v>
      </c>
      <c r="L12" s="29">
        <f>J12*'1. Inputs'!$C$20</f>
        <v>0</v>
      </c>
      <c r="M12" s="7">
        <f t="shared" si="4"/>
        <v>0</v>
      </c>
      <c r="N12" s="29">
        <f>(H12+K12)*'1. Inputs'!$C$12</f>
        <v>0</v>
      </c>
      <c r="O12" s="29">
        <f>(H12+K12)*'1. Inputs'!$C$11</f>
        <v>0</v>
      </c>
      <c r="P12" s="29">
        <f t="shared" si="5"/>
        <v>0</v>
      </c>
      <c r="Q12" s="29">
        <f t="shared" si="6"/>
        <v>0</v>
      </c>
      <c r="R12" s="7">
        <f t="shared" si="7"/>
        <v>0</v>
      </c>
      <c r="S12" s="29">
        <f t="shared" si="9"/>
        <v>0</v>
      </c>
      <c r="T12" s="29">
        <f t="shared" si="10"/>
        <v>0</v>
      </c>
    </row>
    <row r="13" spans="2:20" x14ac:dyDescent="0.3">
      <c r="B13" s="15">
        <f>'2. Monthly CF'!B13</f>
        <v>8</v>
      </c>
      <c r="C13" s="20">
        <f>'2. Monthly CF'!C13</f>
        <v>45322</v>
      </c>
      <c r="D13" s="28">
        <f>MAX(0,'2. Monthly CF'!D13)</f>
        <v>100000</v>
      </c>
      <c r="E13" s="29">
        <f t="shared" si="8"/>
        <v>6736084.5076016895</v>
      </c>
      <c r="F13" s="29">
        <f>E13*((1+'1. Inputs'!$C$16)^((C13-C12)/365)-1)</f>
        <v>49483.629921742751</v>
      </c>
      <c r="G13" s="29">
        <f t="shared" si="0"/>
        <v>6785568.1375234323</v>
      </c>
      <c r="H13" s="29">
        <f t="shared" si="1"/>
        <v>100000</v>
      </c>
      <c r="I13" s="29">
        <f t="shared" si="2"/>
        <v>6685568.1375234323</v>
      </c>
      <c r="J13" s="29">
        <f t="shared" si="3"/>
        <v>0</v>
      </c>
      <c r="K13" s="29">
        <f>J13*'1. Inputs'!$C$19</f>
        <v>0</v>
      </c>
      <c r="L13" s="29">
        <f>J13*'1. Inputs'!$C$20</f>
        <v>0</v>
      </c>
      <c r="M13" s="7">
        <f t="shared" si="4"/>
        <v>0</v>
      </c>
      <c r="N13" s="29">
        <f>(H13+K13)*'1. Inputs'!$C$12</f>
        <v>90000</v>
      </c>
      <c r="O13" s="29">
        <f>(H13+K13)*'1. Inputs'!$C$11</f>
        <v>10000</v>
      </c>
      <c r="P13" s="29">
        <f t="shared" si="5"/>
        <v>0</v>
      </c>
      <c r="Q13" s="29">
        <f t="shared" si="6"/>
        <v>10000</v>
      </c>
      <c r="R13" s="7">
        <f t="shared" si="7"/>
        <v>0</v>
      </c>
      <c r="S13" s="29">
        <f t="shared" si="9"/>
        <v>10000</v>
      </c>
      <c r="T13" s="29">
        <f t="shared" si="10"/>
        <v>90000</v>
      </c>
    </row>
    <row r="14" spans="2:20" x14ac:dyDescent="0.3">
      <c r="B14" s="15">
        <f>'2. Monthly CF'!B14</f>
        <v>9</v>
      </c>
      <c r="C14" s="20">
        <f>'2. Monthly CF'!C14</f>
        <v>45351</v>
      </c>
      <c r="D14" s="28">
        <f>MAX(0,'2. Monthly CF'!D14)</f>
        <v>0</v>
      </c>
      <c r="E14" s="29">
        <f t="shared" si="8"/>
        <v>6685568.1375234323</v>
      </c>
      <c r="F14" s="29">
        <f>E14*((1+'1. Inputs'!$C$16)^((C14-C13)/365)-1)</f>
        <v>45933.124389797231</v>
      </c>
      <c r="G14" s="29">
        <f t="shared" si="0"/>
        <v>6731501.2619132297</v>
      </c>
      <c r="H14" s="29">
        <f t="shared" si="1"/>
        <v>0</v>
      </c>
      <c r="I14" s="29">
        <f t="shared" si="2"/>
        <v>6731501.2619132297</v>
      </c>
      <c r="J14" s="29">
        <f t="shared" si="3"/>
        <v>0</v>
      </c>
      <c r="K14" s="29">
        <f>J14*'1. Inputs'!$C$19</f>
        <v>0</v>
      </c>
      <c r="L14" s="29">
        <f>J14*'1. Inputs'!$C$20</f>
        <v>0</v>
      </c>
      <c r="M14" s="7">
        <f t="shared" si="4"/>
        <v>0</v>
      </c>
      <c r="N14" s="29">
        <f>(H14+K14)*'1. Inputs'!$C$12</f>
        <v>0</v>
      </c>
      <c r="O14" s="29">
        <f>(H14+K14)*'1. Inputs'!$C$11</f>
        <v>0</v>
      </c>
      <c r="P14" s="29">
        <f t="shared" si="5"/>
        <v>0</v>
      </c>
      <c r="Q14" s="29">
        <f t="shared" si="6"/>
        <v>0</v>
      </c>
      <c r="R14" s="7">
        <f t="shared" si="7"/>
        <v>0</v>
      </c>
      <c r="S14" s="29">
        <f t="shared" si="9"/>
        <v>0</v>
      </c>
      <c r="T14" s="29">
        <f t="shared" si="10"/>
        <v>0</v>
      </c>
    </row>
    <row r="15" spans="2:20" x14ac:dyDescent="0.3">
      <c r="B15" s="15">
        <f>'2. Monthly CF'!B15</f>
        <v>10</v>
      </c>
      <c r="C15" s="20">
        <f>'2. Monthly CF'!C15</f>
        <v>45382</v>
      </c>
      <c r="D15" s="28">
        <f>MAX(0,'2. Monthly CF'!D15)</f>
        <v>0</v>
      </c>
      <c r="E15" s="29">
        <f t="shared" si="8"/>
        <v>6731501.2619132297</v>
      </c>
      <c r="F15" s="29">
        <f>E15*((1+'1. Inputs'!$C$16)^((C15-C14)/365)-1)</f>
        <v>49449.961158645696</v>
      </c>
      <c r="G15" s="29">
        <f t="shared" si="0"/>
        <v>6780951.2230718751</v>
      </c>
      <c r="H15" s="29">
        <f t="shared" si="1"/>
        <v>0</v>
      </c>
      <c r="I15" s="29">
        <f t="shared" si="2"/>
        <v>6780951.2230718751</v>
      </c>
      <c r="J15" s="29">
        <f t="shared" si="3"/>
        <v>0</v>
      </c>
      <c r="K15" s="29">
        <f>J15*'1. Inputs'!$C$19</f>
        <v>0</v>
      </c>
      <c r="L15" s="29">
        <f>J15*'1. Inputs'!$C$20</f>
        <v>0</v>
      </c>
      <c r="M15" s="7">
        <f t="shared" si="4"/>
        <v>0</v>
      </c>
      <c r="N15" s="29">
        <f>(H15+K15)*'1. Inputs'!$C$12</f>
        <v>0</v>
      </c>
      <c r="O15" s="29">
        <f>(H15+K15)*'1. Inputs'!$C$11</f>
        <v>0</v>
      </c>
      <c r="P15" s="29">
        <f t="shared" si="5"/>
        <v>0</v>
      </c>
      <c r="Q15" s="29">
        <f t="shared" si="6"/>
        <v>0</v>
      </c>
      <c r="R15" s="7">
        <f t="shared" si="7"/>
        <v>0</v>
      </c>
      <c r="S15" s="29">
        <f t="shared" si="9"/>
        <v>0</v>
      </c>
      <c r="T15" s="29">
        <f t="shared" si="10"/>
        <v>0</v>
      </c>
    </row>
    <row r="16" spans="2:20" x14ac:dyDescent="0.3">
      <c r="B16" s="15">
        <f>'2. Monthly CF'!B16</f>
        <v>11</v>
      </c>
      <c r="C16" s="20">
        <f>'2. Monthly CF'!C16</f>
        <v>45412</v>
      </c>
      <c r="D16" s="28">
        <f>MAX(0,'2. Monthly CF'!D16)</f>
        <v>0</v>
      </c>
      <c r="E16" s="29">
        <f t="shared" si="8"/>
        <v>6780951.2230718751</v>
      </c>
      <c r="F16" s="29">
        <f>E16*((1+'1. Inputs'!$C$16)^((C16-C15)/365)-1)</f>
        <v>48200.647667609555</v>
      </c>
      <c r="G16" s="29">
        <f t="shared" si="0"/>
        <v>6829151.8707394842</v>
      </c>
      <c r="H16" s="29">
        <f t="shared" si="1"/>
        <v>0</v>
      </c>
      <c r="I16" s="29">
        <f t="shared" si="2"/>
        <v>6829151.8707394842</v>
      </c>
      <c r="J16" s="29">
        <f t="shared" si="3"/>
        <v>0</v>
      </c>
      <c r="K16" s="29">
        <f>J16*'1. Inputs'!$C$19</f>
        <v>0</v>
      </c>
      <c r="L16" s="29">
        <f>J16*'1. Inputs'!$C$20</f>
        <v>0</v>
      </c>
      <c r="M16" s="7">
        <f t="shared" si="4"/>
        <v>0</v>
      </c>
      <c r="N16" s="29">
        <f>(H16+K16)*'1. Inputs'!$C$12</f>
        <v>0</v>
      </c>
      <c r="O16" s="29">
        <f>(H16+K16)*'1. Inputs'!$C$11</f>
        <v>0</v>
      </c>
      <c r="P16" s="29">
        <f t="shared" si="5"/>
        <v>0</v>
      </c>
      <c r="Q16" s="29">
        <f t="shared" si="6"/>
        <v>0</v>
      </c>
      <c r="R16" s="7">
        <f t="shared" si="7"/>
        <v>0</v>
      </c>
      <c r="S16" s="29">
        <f t="shared" si="9"/>
        <v>0</v>
      </c>
      <c r="T16" s="29">
        <f t="shared" si="10"/>
        <v>0</v>
      </c>
    </row>
    <row r="17" spans="2:20" x14ac:dyDescent="0.3">
      <c r="B17" s="15">
        <f>'2. Monthly CF'!B17</f>
        <v>12</v>
      </c>
      <c r="C17" s="20">
        <f>'2. Monthly CF'!C17</f>
        <v>45443</v>
      </c>
      <c r="D17" s="28">
        <f>MAX(0,'2. Monthly CF'!D17)</f>
        <v>200000</v>
      </c>
      <c r="E17" s="29">
        <f t="shared" si="8"/>
        <v>6829151.8707394842</v>
      </c>
      <c r="F17" s="29">
        <f>E17*((1+'1. Inputs'!$C$16)^((C17-C16)/365)-1)</f>
        <v>50167.307650266783</v>
      </c>
      <c r="G17" s="29">
        <f t="shared" si="0"/>
        <v>6879319.1783897514</v>
      </c>
      <c r="H17" s="29">
        <f t="shared" si="1"/>
        <v>200000</v>
      </c>
      <c r="I17" s="29">
        <f t="shared" si="2"/>
        <v>6679319.1783897514</v>
      </c>
      <c r="J17" s="29">
        <f t="shared" si="3"/>
        <v>0</v>
      </c>
      <c r="K17" s="29">
        <f>J17*'1. Inputs'!$C$19</f>
        <v>0</v>
      </c>
      <c r="L17" s="29">
        <f>J17*'1. Inputs'!$C$20</f>
        <v>0</v>
      </c>
      <c r="M17" s="7">
        <f t="shared" si="4"/>
        <v>0</v>
      </c>
      <c r="N17" s="29">
        <f>(H17+K17)*'1. Inputs'!$C$12</f>
        <v>180000</v>
      </c>
      <c r="O17" s="29">
        <f>(H17+K17)*'1. Inputs'!$C$11</f>
        <v>20000</v>
      </c>
      <c r="P17" s="29">
        <f t="shared" si="5"/>
        <v>0</v>
      </c>
      <c r="Q17" s="29">
        <f t="shared" si="6"/>
        <v>20000</v>
      </c>
      <c r="R17" s="7">
        <f t="shared" si="7"/>
        <v>0</v>
      </c>
      <c r="S17" s="29">
        <f t="shared" si="9"/>
        <v>20000</v>
      </c>
      <c r="T17" s="29">
        <f t="shared" si="10"/>
        <v>180000</v>
      </c>
    </row>
    <row r="18" spans="2:20" x14ac:dyDescent="0.3">
      <c r="B18" s="15">
        <f>'2. Monthly CF'!B18</f>
        <v>13</v>
      </c>
      <c r="C18" s="20">
        <f>'2. Monthly CF'!C18</f>
        <v>45473</v>
      </c>
      <c r="D18" s="28">
        <f>MAX(0,'2. Monthly CF'!D18)</f>
        <v>0</v>
      </c>
      <c r="E18" s="29">
        <f t="shared" si="8"/>
        <v>6679319.1783897514</v>
      </c>
      <c r="F18" s="29">
        <f>E18*((1+'1. Inputs'!$C$16)^((C18-C17)/365)-1)</f>
        <v>47478.222418362209</v>
      </c>
      <c r="G18" s="29">
        <f t="shared" si="0"/>
        <v>6726797.4008081136</v>
      </c>
      <c r="H18" s="29">
        <f t="shared" si="1"/>
        <v>0</v>
      </c>
      <c r="I18" s="29">
        <f t="shared" si="2"/>
        <v>6726797.4008081136</v>
      </c>
      <c r="J18" s="29">
        <f t="shared" si="3"/>
        <v>0</v>
      </c>
      <c r="K18" s="29">
        <f>J18*'1. Inputs'!$C$19</f>
        <v>0</v>
      </c>
      <c r="L18" s="29">
        <f>J18*'1. Inputs'!$C$20</f>
        <v>0</v>
      </c>
      <c r="M18" s="7">
        <f t="shared" si="4"/>
        <v>0</v>
      </c>
      <c r="N18" s="29">
        <f>(H18+K18)*'1. Inputs'!$C$12</f>
        <v>0</v>
      </c>
      <c r="O18" s="29">
        <f>(H18+K18)*'1. Inputs'!$C$11</f>
        <v>0</v>
      </c>
      <c r="P18" s="29">
        <f t="shared" si="5"/>
        <v>0</v>
      </c>
      <c r="Q18" s="29">
        <f t="shared" si="6"/>
        <v>0</v>
      </c>
      <c r="R18" s="7">
        <f t="shared" si="7"/>
        <v>0</v>
      </c>
      <c r="S18" s="29">
        <f t="shared" si="9"/>
        <v>0</v>
      </c>
      <c r="T18" s="29">
        <f t="shared" si="10"/>
        <v>0</v>
      </c>
    </row>
    <row r="19" spans="2:20" x14ac:dyDescent="0.3">
      <c r="B19" s="15">
        <f>'2. Monthly CF'!B19</f>
        <v>14</v>
      </c>
      <c r="C19" s="20">
        <f>'2. Monthly CF'!C19</f>
        <v>45504</v>
      </c>
      <c r="D19" s="28">
        <f>MAX(0,'2. Monthly CF'!D19)</f>
        <v>225000</v>
      </c>
      <c r="E19" s="29">
        <f t="shared" si="8"/>
        <v>6726797.4008081136</v>
      </c>
      <c r="F19" s="29">
        <f>E19*((1+'1. Inputs'!$C$16)^((C19-C18)/365)-1)</f>
        <v>49415.40634837481</v>
      </c>
      <c r="G19" s="29">
        <f t="shared" si="0"/>
        <v>6776212.8071564883</v>
      </c>
      <c r="H19" s="29">
        <f t="shared" si="1"/>
        <v>225000</v>
      </c>
      <c r="I19" s="29">
        <f t="shared" si="2"/>
        <v>6551212.8071564883</v>
      </c>
      <c r="J19" s="29">
        <f t="shared" si="3"/>
        <v>0</v>
      </c>
      <c r="K19" s="29">
        <f>J19*'1. Inputs'!$C$19</f>
        <v>0</v>
      </c>
      <c r="L19" s="29">
        <f>J19*'1. Inputs'!$C$20</f>
        <v>0</v>
      </c>
      <c r="M19" s="7">
        <f t="shared" si="4"/>
        <v>0</v>
      </c>
      <c r="N19" s="29">
        <f>(H19+K19)*'1. Inputs'!$C$12</f>
        <v>202500</v>
      </c>
      <c r="O19" s="29">
        <f>(H19+K19)*'1. Inputs'!$C$11</f>
        <v>22500</v>
      </c>
      <c r="P19" s="29">
        <f t="shared" si="5"/>
        <v>0</v>
      </c>
      <c r="Q19" s="29">
        <f t="shared" si="6"/>
        <v>22500</v>
      </c>
      <c r="R19" s="7">
        <f t="shared" si="7"/>
        <v>0</v>
      </c>
      <c r="S19" s="29">
        <f t="shared" si="9"/>
        <v>22500</v>
      </c>
      <c r="T19" s="29">
        <f t="shared" si="10"/>
        <v>202500</v>
      </c>
    </row>
    <row r="20" spans="2:20" x14ac:dyDescent="0.3">
      <c r="B20" s="15">
        <f>'2. Monthly CF'!B20</f>
        <v>15</v>
      </c>
      <c r="C20" s="20">
        <f>'2. Monthly CF'!C20</f>
        <v>45535</v>
      </c>
      <c r="D20" s="28">
        <f>MAX(0,'2. Monthly CF'!D20)</f>
        <v>0</v>
      </c>
      <c r="E20" s="29">
        <f t="shared" si="8"/>
        <v>6551212.8071564883</v>
      </c>
      <c r="F20" s="29">
        <f>E20*((1+'1. Inputs'!$C$16)^((C20-C19)/365)-1)</f>
        <v>48125.552718656902</v>
      </c>
      <c r="G20" s="29">
        <f t="shared" si="0"/>
        <v>6599338.3598751454</v>
      </c>
      <c r="H20" s="29">
        <f t="shared" si="1"/>
        <v>0</v>
      </c>
      <c r="I20" s="29">
        <f t="shared" si="2"/>
        <v>6599338.3598751454</v>
      </c>
      <c r="J20" s="29">
        <f t="shared" si="3"/>
        <v>0</v>
      </c>
      <c r="K20" s="29">
        <f>J20*'1. Inputs'!$C$19</f>
        <v>0</v>
      </c>
      <c r="L20" s="29">
        <f>J20*'1. Inputs'!$C$20</f>
        <v>0</v>
      </c>
      <c r="M20" s="7">
        <f t="shared" si="4"/>
        <v>0</v>
      </c>
      <c r="N20" s="29">
        <f>(H20+K20)*'1. Inputs'!$C$12</f>
        <v>0</v>
      </c>
      <c r="O20" s="29">
        <f>(H20+K20)*'1. Inputs'!$C$11</f>
        <v>0</v>
      </c>
      <c r="P20" s="29">
        <f t="shared" si="5"/>
        <v>0</v>
      </c>
      <c r="Q20" s="29">
        <f t="shared" si="6"/>
        <v>0</v>
      </c>
      <c r="R20" s="7">
        <f t="shared" si="7"/>
        <v>0</v>
      </c>
      <c r="S20" s="29">
        <f t="shared" si="9"/>
        <v>0</v>
      </c>
      <c r="T20" s="29">
        <f t="shared" si="10"/>
        <v>0</v>
      </c>
    </row>
    <row r="21" spans="2:20" x14ac:dyDescent="0.3">
      <c r="B21" s="15">
        <f>'2. Monthly CF'!B21</f>
        <v>16</v>
      </c>
      <c r="C21" s="20">
        <f>'2. Monthly CF'!C21</f>
        <v>45565</v>
      </c>
      <c r="D21" s="28">
        <f>MAX(0,'2. Monthly CF'!D21)</f>
        <v>0</v>
      </c>
      <c r="E21" s="29">
        <f t="shared" si="8"/>
        <v>6599338.3598751454</v>
      </c>
      <c r="F21" s="29">
        <f>E21*((1+'1. Inputs'!$C$16)^((C21-C20)/365)-1)</f>
        <v>46909.699341500564</v>
      </c>
      <c r="G21" s="29">
        <f t="shared" si="0"/>
        <v>6646248.0592166455</v>
      </c>
      <c r="H21" s="29">
        <f t="shared" si="1"/>
        <v>0</v>
      </c>
      <c r="I21" s="29">
        <f t="shared" si="2"/>
        <v>6646248.0592166455</v>
      </c>
      <c r="J21" s="29">
        <f t="shared" si="3"/>
        <v>0</v>
      </c>
      <c r="K21" s="29">
        <f>J21*'1. Inputs'!$C$19</f>
        <v>0</v>
      </c>
      <c r="L21" s="29">
        <f>J21*'1. Inputs'!$C$20</f>
        <v>0</v>
      </c>
      <c r="M21" s="7">
        <f t="shared" si="4"/>
        <v>0</v>
      </c>
      <c r="N21" s="29">
        <f>(H21+K21)*'1. Inputs'!$C$12</f>
        <v>0</v>
      </c>
      <c r="O21" s="29">
        <f>(H21+K21)*'1. Inputs'!$C$11</f>
        <v>0</v>
      </c>
      <c r="P21" s="29">
        <f t="shared" si="5"/>
        <v>0</v>
      </c>
      <c r="Q21" s="29">
        <f t="shared" si="6"/>
        <v>0</v>
      </c>
      <c r="R21" s="7">
        <f t="shared" si="7"/>
        <v>0</v>
      </c>
      <c r="S21" s="29">
        <f t="shared" si="9"/>
        <v>0</v>
      </c>
      <c r="T21" s="29">
        <f t="shared" si="10"/>
        <v>0</v>
      </c>
    </row>
    <row r="22" spans="2:20" x14ac:dyDescent="0.3">
      <c r="B22" s="15">
        <f>'2. Monthly CF'!B22</f>
        <v>17</v>
      </c>
      <c r="C22" s="20">
        <f>'2. Monthly CF'!C22</f>
        <v>45596</v>
      </c>
      <c r="D22" s="28">
        <f>MAX(0,'2. Monthly CF'!D22)</f>
        <v>250000</v>
      </c>
      <c r="E22" s="29">
        <f t="shared" si="8"/>
        <v>6646248.0592166455</v>
      </c>
      <c r="F22" s="29">
        <f>E22*((1+'1. Inputs'!$C$16)^((C22-C21)/365)-1)</f>
        <v>48823.686662368171</v>
      </c>
      <c r="G22" s="29">
        <f t="shared" si="0"/>
        <v>6695071.745879014</v>
      </c>
      <c r="H22" s="29">
        <f t="shared" si="1"/>
        <v>250000</v>
      </c>
      <c r="I22" s="29">
        <f t="shared" si="2"/>
        <v>6445071.745879014</v>
      </c>
      <c r="J22" s="29">
        <f t="shared" si="3"/>
        <v>0</v>
      </c>
      <c r="K22" s="29">
        <f>J22*'1. Inputs'!$C$19</f>
        <v>0</v>
      </c>
      <c r="L22" s="29">
        <f>J22*'1. Inputs'!$C$20</f>
        <v>0</v>
      </c>
      <c r="M22" s="7">
        <f t="shared" si="4"/>
        <v>0</v>
      </c>
      <c r="N22" s="29">
        <f>(H22+K22)*'1. Inputs'!$C$12</f>
        <v>225000</v>
      </c>
      <c r="O22" s="29">
        <f>(H22+K22)*'1. Inputs'!$C$11</f>
        <v>25000</v>
      </c>
      <c r="P22" s="29">
        <f t="shared" si="5"/>
        <v>0</v>
      </c>
      <c r="Q22" s="29">
        <f t="shared" si="6"/>
        <v>25000</v>
      </c>
      <c r="R22" s="7">
        <f t="shared" si="7"/>
        <v>0</v>
      </c>
      <c r="S22" s="29">
        <f t="shared" si="9"/>
        <v>25000</v>
      </c>
      <c r="T22" s="29">
        <f t="shared" si="10"/>
        <v>225000</v>
      </c>
    </row>
    <row r="23" spans="2:20" x14ac:dyDescent="0.3">
      <c r="B23" s="15">
        <f>'2. Monthly CF'!B23</f>
        <v>18</v>
      </c>
      <c r="C23" s="20">
        <f>'2. Monthly CF'!C23</f>
        <v>45626</v>
      </c>
      <c r="D23" s="28">
        <f>MAX(0,'2. Monthly CF'!D23)</f>
        <v>0</v>
      </c>
      <c r="E23" s="29">
        <f t="shared" si="8"/>
        <v>6445071.745879014</v>
      </c>
      <c r="F23" s="29">
        <f>E23*((1+'1. Inputs'!$C$16)^((C23-C22)/365)-1)</f>
        <v>45813.13479421362</v>
      </c>
      <c r="G23" s="29">
        <f t="shared" si="0"/>
        <v>6490884.8806732278</v>
      </c>
      <c r="H23" s="29">
        <f t="shared" si="1"/>
        <v>0</v>
      </c>
      <c r="I23" s="29">
        <f t="shared" si="2"/>
        <v>6490884.8806732278</v>
      </c>
      <c r="J23" s="29">
        <f t="shared" si="3"/>
        <v>0</v>
      </c>
      <c r="K23" s="29">
        <f>J23*'1. Inputs'!$C$19</f>
        <v>0</v>
      </c>
      <c r="L23" s="29">
        <f>J23*'1. Inputs'!$C$20</f>
        <v>0</v>
      </c>
      <c r="M23" s="7">
        <f t="shared" si="4"/>
        <v>0</v>
      </c>
      <c r="N23" s="29">
        <f>(H23+K23)*'1. Inputs'!$C$12</f>
        <v>0</v>
      </c>
      <c r="O23" s="29">
        <f>(H23+K23)*'1. Inputs'!$C$11</f>
        <v>0</v>
      </c>
      <c r="P23" s="29">
        <f t="shared" si="5"/>
        <v>0</v>
      </c>
      <c r="Q23" s="29">
        <f t="shared" si="6"/>
        <v>0</v>
      </c>
      <c r="R23" s="7">
        <f t="shared" si="7"/>
        <v>0</v>
      </c>
      <c r="S23" s="29">
        <f t="shared" si="9"/>
        <v>0</v>
      </c>
      <c r="T23" s="29">
        <f t="shared" si="10"/>
        <v>0</v>
      </c>
    </row>
    <row r="24" spans="2:20" x14ac:dyDescent="0.3">
      <c r="B24" s="15">
        <f>'2. Monthly CF'!B24</f>
        <v>19</v>
      </c>
      <c r="C24" s="20">
        <f>'2. Monthly CF'!C24</f>
        <v>45657</v>
      </c>
      <c r="D24" s="28">
        <f>MAX(0,'2. Monthly CF'!D24)</f>
        <v>0</v>
      </c>
      <c r="E24" s="29">
        <f t="shared" si="8"/>
        <v>6490884.8806732278</v>
      </c>
      <c r="F24" s="29">
        <f>E24*((1+'1. Inputs'!$C$16)^((C24-C23)/365)-1)</f>
        <v>47682.380608111831</v>
      </c>
      <c r="G24" s="29">
        <f t="shared" si="0"/>
        <v>6538567.2612813395</v>
      </c>
      <c r="H24" s="29">
        <f t="shared" si="1"/>
        <v>0</v>
      </c>
      <c r="I24" s="29">
        <f t="shared" si="2"/>
        <v>6538567.2612813395</v>
      </c>
      <c r="J24" s="29">
        <f t="shared" si="3"/>
        <v>0</v>
      </c>
      <c r="K24" s="29">
        <f>J24*'1. Inputs'!$C$19</f>
        <v>0</v>
      </c>
      <c r="L24" s="29">
        <f>J24*'1. Inputs'!$C$20</f>
        <v>0</v>
      </c>
      <c r="M24" s="7">
        <f t="shared" si="4"/>
        <v>0</v>
      </c>
      <c r="N24" s="29">
        <f>(H24+K24)*'1. Inputs'!$C$12</f>
        <v>0</v>
      </c>
      <c r="O24" s="29">
        <f>(H24+K24)*'1. Inputs'!$C$11</f>
        <v>0</v>
      </c>
      <c r="P24" s="29">
        <f t="shared" si="5"/>
        <v>0</v>
      </c>
      <c r="Q24" s="29">
        <f t="shared" si="6"/>
        <v>0</v>
      </c>
      <c r="R24" s="7">
        <f t="shared" si="7"/>
        <v>0</v>
      </c>
      <c r="S24" s="29">
        <f t="shared" si="9"/>
        <v>0</v>
      </c>
      <c r="T24" s="29">
        <f t="shared" si="10"/>
        <v>0</v>
      </c>
    </row>
    <row r="25" spans="2:20" x14ac:dyDescent="0.3">
      <c r="B25" s="15">
        <f>'2. Monthly CF'!B25</f>
        <v>20</v>
      </c>
      <c r="C25" s="20">
        <f>'2. Monthly CF'!C25</f>
        <v>45688</v>
      </c>
      <c r="D25" s="28">
        <f>MAX(0,'2. Monthly CF'!D25)</f>
        <v>250000</v>
      </c>
      <c r="E25" s="29">
        <f t="shared" si="8"/>
        <v>6538567.2612813395</v>
      </c>
      <c r="F25" s="29">
        <f>E25*((1+'1. Inputs'!$C$16)^((C25-C24)/365)-1)</f>
        <v>48032.657875734702</v>
      </c>
      <c r="G25" s="29">
        <f t="shared" si="0"/>
        <v>6586599.9191570738</v>
      </c>
      <c r="H25" s="29">
        <f t="shared" si="1"/>
        <v>250000</v>
      </c>
      <c r="I25" s="29">
        <f t="shared" si="2"/>
        <v>6336599.9191570738</v>
      </c>
      <c r="J25" s="29">
        <f t="shared" si="3"/>
        <v>0</v>
      </c>
      <c r="K25" s="29">
        <f>J25*'1. Inputs'!$C$19</f>
        <v>0</v>
      </c>
      <c r="L25" s="29">
        <f>J25*'1. Inputs'!$C$20</f>
        <v>0</v>
      </c>
      <c r="M25" s="7">
        <f t="shared" si="4"/>
        <v>0</v>
      </c>
      <c r="N25" s="29">
        <f>(H25+K25)*'1. Inputs'!$C$12</f>
        <v>225000</v>
      </c>
      <c r="O25" s="29">
        <f>(H25+K25)*'1. Inputs'!$C$11</f>
        <v>25000</v>
      </c>
      <c r="P25" s="29">
        <f t="shared" si="5"/>
        <v>0</v>
      </c>
      <c r="Q25" s="29">
        <f t="shared" si="6"/>
        <v>25000</v>
      </c>
      <c r="R25" s="7">
        <f t="shared" si="7"/>
        <v>0</v>
      </c>
      <c r="S25" s="29">
        <f t="shared" si="9"/>
        <v>25000</v>
      </c>
      <c r="T25" s="29">
        <f t="shared" si="10"/>
        <v>225000</v>
      </c>
    </row>
    <row r="26" spans="2:20" x14ac:dyDescent="0.3">
      <c r="B26" s="15">
        <f>'2. Monthly CF'!B26</f>
        <v>21</v>
      </c>
      <c r="C26" s="20">
        <f>'2. Monthly CF'!C26</f>
        <v>45716</v>
      </c>
      <c r="D26" s="28">
        <f>MAX(0,'2. Monthly CF'!D26)</f>
        <v>0</v>
      </c>
      <c r="E26" s="29">
        <f t="shared" si="8"/>
        <v>6336599.9191570738</v>
      </c>
      <c r="F26" s="29">
        <f>E26*((1+'1. Inputs'!$C$16)^((C26-C25)/365)-1)</f>
        <v>42029.348900666053</v>
      </c>
      <c r="G26" s="29">
        <f t="shared" si="0"/>
        <v>6378629.2680577403</v>
      </c>
      <c r="H26" s="29">
        <f t="shared" si="1"/>
        <v>0</v>
      </c>
      <c r="I26" s="29">
        <f t="shared" si="2"/>
        <v>6378629.2680577403</v>
      </c>
      <c r="J26" s="29">
        <f t="shared" si="3"/>
        <v>0</v>
      </c>
      <c r="K26" s="29">
        <f>J26*'1. Inputs'!$C$19</f>
        <v>0</v>
      </c>
      <c r="L26" s="29">
        <f>J26*'1. Inputs'!$C$20</f>
        <v>0</v>
      </c>
      <c r="M26" s="7">
        <f t="shared" si="4"/>
        <v>0</v>
      </c>
      <c r="N26" s="29">
        <f>(H26+K26)*'1. Inputs'!$C$12</f>
        <v>0</v>
      </c>
      <c r="O26" s="29">
        <f>(H26+K26)*'1. Inputs'!$C$11</f>
        <v>0</v>
      </c>
      <c r="P26" s="29">
        <f t="shared" si="5"/>
        <v>0</v>
      </c>
      <c r="Q26" s="29">
        <f t="shared" si="6"/>
        <v>0</v>
      </c>
      <c r="R26" s="7">
        <f t="shared" si="7"/>
        <v>0</v>
      </c>
      <c r="S26" s="29">
        <f t="shared" si="9"/>
        <v>0</v>
      </c>
      <c r="T26" s="29">
        <f t="shared" si="10"/>
        <v>0</v>
      </c>
    </row>
    <row r="27" spans="2:20" x14ac:dyDescent="0.3">
      <c r="B27" s="15">
        <f>'2. Monthly CF'!B27</f>
        <v>22</v>
      </c>
      <c r="C27" s="20">
        <f>'2. Monthly CF'!C27</f>
        <v>45747</v>
      </c>
      <c r="D27" s="28">
        <f>MAX(0,'2. Monthly CF'!D27)</f>
        <v>0</v>
      </c>
      <c r="E27" s="29">
        <f t="shared" si="8"/>
        <v>6378629.2680577403</v>
      </c>
      <c r="F27" s="29">
        <f>E27*((1+'1. Inputs'!$C$16)^((C27-C26)/365)-1)</f>
        <v>46857.744993010114</v>
      </c>
      <c r="G27" s="29">
        <f t="shared" si="0"/>
        <v>6425487.0130507508</v>
      </c>
      <c r="H27" s="29">
        <f t="shared" si="1"/>
        <v>0</v>
      </c>
      <c r="I27" s="29">
        <f t="shared" si="2"/>
        <v>6425487.0130507508</v>
      </c>
      <c r="J27" s="29">
        <f t="shared" si="3"/>
        <v>0</v>
      </c>
      <c r="K27" s="29">
        <f>J27*'1. Inputs'!$C$19</f>
        <v>0</v>
      </c>
      <c r="L27" s="29">
        <f>J27*'1. Inputs'!$C$20</f>
        <v>0</v>
      </c>
      <c r="M27" s="7">
        <f t="shared" si="4"/>
        <v>0</v>
      </c>
      <c r="N27" s="29">
        <f>(H27+K27)*'1. Inputs'!$C$12</f>
        <v>0</v>
      </c>
      <c r="O27" s="29">
        <f>(H27+K27)*'1. Inputs'!$C$11</f>
        <v>0</v>
      </c>
      <c r="P27" s="29">
        <f t="shared" si="5"/>
        <v>0</v>
      </c>
      <c r="Q27" s="29">
        <f t="shared" si="6"/>
        <v>0</v>
      </c>
      <c r="R27" s="7">
        <f t="shared" si="7"/>
        <v>0</v>
      </c>
      <c r="S27" s="29">
        <f t="shared" si="9"/>
        <v>0</v>
      </c>
      <c r="T27" s="29">
        <f t="shared" si="10"/>
        <v>0</v>
      </c>
    </row>
    <row r="28" spans="2:20" x14ac:dyDescent="0.3">
      <c r="B28" s="15">
        <f>'2. Monthly CF'!B28</f>
        <v>23</v>
      </c>
      <c r="C28" s="20">
        <f>'2. Monthly CF'!C28</f>
        <v>45777</v>
      </c>
      <c r="D28" s="28">
        <f>MAX(0,'2. Monthly CF'!D28)</f>
        <v>350000</v>
      </c>
      <c r="E28" s="29">
        <f t="shared" si="8"/>
        <v>6425487.0130507508</v>
      </c>
      <c r="F28" s="29">
        <f>E28*((1+'1. Inputs'!$C$16)^((C28-C27)/365)-1)</f>
        <v>45673.921758215445</v>
      </c>
      <c r="G28" s="29">
        <f t="shared" si="0"/>
        <v>6471160.9348089667</v>
      </c>
      <c r="H28" s="29">
        <f t="shared" si="1"/>
        <v>350000</v>
      </c>
      <c r="I28" s="29">
        <f t="shared" si="2"/>
        <v>6121160.9348089667</v>
      </c>
      <c r="J28" s="29">
        <f t="shared" si="3"/>
        <v>0</v>
      </c>
      <c r="K28" s="29">
        <f>J28*'1. Inputs'!$C$19</f>
        <v>0</v>
      </c>
      <c r="L28" s="29">
        <f>J28*'1. Inputs'!$C$20</f>
        <v>0</v>
      </c>
      <c r="M28" s="7">
        <f t="shared" si="4"/>
        <v>0</v>
      </c>
      <c r="N28" s="29">
        <f>(H28+K28)*'1. Inputs'!$C$12</f>
        <v>315000</v>
      </c>
      <c r="O28" s="29">
        <f>(H28+K28)*'1. Inputs'!$C$11</f>
        <v>35000</v>
      </c>
      <c r="P28" s="29">
        <f t="shared" si="5"/>
        <v>0</v>
      </c>
      <c r="Q28" s="29">
        <f t="shared" si="6"/>
        <v>35000</v>
      </c>
      <c r="R28" s="7">
        <f t="shared" si="7"/>
        <v>0</v>
      </c>
      <c r="S28" s="29">
        <f t="shared" si="9"/>
        <v>35000</v>
      </c>
      <c r="T28" s="29">
        <f t="shared" si="10"/>
        <v>315000</v>
      </c>
    </row>
    <row r="29" spans="2:20" x14ac:dyDescent="0.3">
      <c r="B29" s="15">
        <f>'2. Monthly CF'!B29</f>
        <v>24</v>
      </c>
      <c r="C29" s="20">
        <f>'2. Monthly CF'!C29</f>
        <v>45808</v>
      </c>
      <c r="D29" s="28">
        <f>MAX(0,'2. Monthly CF'!D29)</f>
        <v>0</v>
      </c>
      <c r="E29" s="29">
        <f t="shared" si="8"/>
        <v>6121160.9348089667</v>
      </c>
      <c r="F29" s="29">
        <f>E29*((1+'1. Inputs'!$C$16)^((C29-C28)/365)-1)</f>
        <v>44966.369119582072</v>
      </c>
      <c r="G29" s="29">
        <f t="shared" si="0"/>
        <v>6166127.3039285485</v>
      </c>
      <c r="H29" s="29">
        <f t="shared" si="1"/>
        <v>0</v>
      </c>
      <c r="I29" s="29">
        <f t="shared" si="2"/>
        <v>6166127.3039285485</v>
      </c>
      <c r="J29" s="29">
        <f t="shared" si="3"/>
        <v>0</v>
      </c>
      <c r="K29" s="29">
        <f>J29*'1. Inputs'!$C$19</f>
        <v>0</v>
      </c>
      <c r="L29" s="29">
        <f>J29*'1. Inputs'!$C$20</f>
        <v>0</v>
      </c>
      <c r="M29" s="7">
        <f t="shared" si="4"/>
        <v>0</v>
      </c>
      <c r="N29" s="29">
        <f>(H29+K29)*'1. Inputs'!$C$12</f>
        <v>0</v>
      </c>
      <c r="O29" s="29">
        <f>(H29+K29)*'1. Inputs'!$C$11</f>
        <v>0</v>
      </c>
      <c r="P29" s="29">
        <f t="shared" si="5"/>
        <v>0</v>
      </c>
      <c r="Q29" s="29">
        <f t="shared" si="6"/>
        <v>0</v>
      </c>
      <c r="R29" s="7">
        <f t="shared" si="7"/>
        <v>0</v>
      </c>
      <c r="S29" s="29">
        <f t="shared" si="9"/>
        <v>0</v>
      </c>
      <c r="T29" s="29">
        <f t="shared" si="10"/>
        <v>0</v>
      </c>
    </row>
    <row r="30" spans="2:20" x14ac:dyDescent="0.3">
      <c r="B30" s="15">
        <f>'2. Monthly CF'!B30</f>
        <v>25</v>
      </c>
      <c r="C30" s="20">
        <f>'2. Monthly CF'!C30</f>
        <v>45838</v>
      </c>
      <c r="D30" s="28">
        <f>MAX(0,'2. Monthly CF'!D30)</f>
        <v>0</v>
      </c>
      <c r="E30" s="29">
        <f t="shared" si="8"/>
        <v>6166127.3039285485</v>
      </c>
      <c r="F30" s="29">
        <f>E30*((1+'1. Inputs'!$C$16)^((C30-C29)/365)-1)</f>
        <v>43830.329974803433</v>
      </c>
      <c r="G30" s="29">
        <f t="shared" si="0"/>
        <v>6209957.6339033516</v>
      </c>
      <c r="H30" s="29">
        <f t="shared" si="1"/>
        <v>0</v>
      </c>
      <c r="I30" s="29">
        <f t="shared" si="2"/>
        <v>6209957.6339033516</v>
      </c>
      <c r="J30" s="29">
        <f t="shared" si="3"/>
        <v>0</v>
      </c>
      <c r="K30" s="29">
        <f>J30*'1. Inputs'!$C$19</f>
        <v>0</v>
      </c>
      <c r="L30" s="29">
        <f>J30*'1. Inputs'!$C$20</f>
        <v>0</v>
      </c>
      <c r="M30" s="7">
        <f t="shared" si="4"/>
        <v>0</v>
      </c>
      <c r="N30" s="29">
        <f>(H30+K30)*'1. Inputs'!$C$12</f>
        <v>0</v>
      </c>
      <c r="O30" s="29">
        <f>(H30+K30)*'1. Inputs'!$C$11</f>
        <v>0</v>
      </c>
      <c r="P30" s="29">
        <f t="shared" si="5"/>
        <v>0</v>
      </c>
      <c r="Q30" s="29">
        <f t="shared" si="6"/>
        <v>0</v>
      </c>
      <c r="R30" s="7">
        <f t="shared" si="7"/>
        <v>0</v>
      </c>
      <c r="S30" s="29">
        <f t="shared" si="9"/>
        <v>0</v>
      </c>
      <c r="T30" s="29">
        <f t="shared" si="10"/>
        <v>0</v>
      </c>
    </row>
    <row r="31" spans="2:20" x14ac:dyDescent="0.3">
      <c r="B31" s="15">
        <f>'2. Monthly CF'!B31</f>
        <v>26</v>
      </c>
      <c r="C31" s="20">
        <f>'2. Monthly CF'!C31</f>
        <v>45869</v>
      </c>
      <c r="D31" s="28">
        <f>MAX(0,'2. Monthly CF'!D31)</f>
        <v>300000</v>
      </c>
      <c r="E31" s="29">
        <f t="shared" si="8"/>
        <v>6209957.6339033516</v>
      </c>
      <c r="F31" s="29">
        <f>E31*((1+'1. Inputs'!$C$16)^((C31-C30)/365)-1)</f>
        <v>45618.674326160202</v>
      </c>
      <c r="G31" s="29">
        <f t="shared" si="0"/>
        <v>6255576.3082295116</v>
      </c>
      <c r="H31" s="29">
        <f t="shared" si="1"/>
        <v>300000</v>
      </c>
      <c r="I31" s="29">
        <f t="shared" si="2"/>
        <v>5955576.3082295116</v>
      </c>
      <c r="J31" s="29">
        <f t="shared" si="3"/>
        <v>0</v>
      </c>
      <c r="K31" s="29">
        <f>J31*'1. Inputs'!$C$19</f>
        <v>0</v>
      </c>
      <c r="L31" s="29">
        <f>J31*'1. Inputs'!$C$20</f>
        <v>0</v>
      </c>
      <c r="M31" s="7">
        <f t="shared" si="4"/>
        <v>0</v>
      </c>
      <c r="N31" s="29">
        <f>(H31+K31)*'1. Inputs'!$C$12</f>
        <v>270000</v>
      </c>
      <c r="O31" s="29">
        <f>(H31+K31)*'1. Inputs'!$C$11</f>
        <v>30000</v>
      </c>
      <c r="P31" s="29">
        <f t="shared" si="5"/>
        <v>0</v>
      </c>
      <c r="Q31" s="29">
        <f t="shared" si="6"/>
        <v>30000</v>
      </c>
      <c r="R31" s="7">
        <f t="shared" si="7"/>
        <v>0</v>
      </c>
      <c r="S31" s="29">
        <f t="shared" si="9"/>
        <v>30000</v>
      </c>
      <c r="T31" s="29">
        <f t="shared" si="10"/>
        <v>270000</v>
      </c>
    </row>
    <row r="32" spans="2:20" x14ac:dyDescent="0.3">
      <c r="B32" s="15">
        <f>'2. Monthly CF'!B32</f>
        <v>27</v>
      </c>
      <c r="C32" s="20">
        <f>'2. Monthly CF'!C32</f>
        <v>45900</v>
      </c>
      <c r="D32" s="28">
        <f>MAX(0,'2. Monthly CF'!D32)</f>
        <v>0</v>
      </c>
      <c r="E32" s="29">
        <f t="shared" si="8"/>
        <v>5955576.3082295116</v>
      </c>
      <c r="F32" s="29">
        <f>E32*((1+'1. Inputs'!$C$16)^((C32-C31)/365)-1)</f>
        <v>43749.975772209262</v>
      </c>
      <c r="G32" s="29">
        <f t="shared" si="0"/>
        <v>5999326.2840017211</v>
      </c>
      <c r="H32" s="29">
        <f t="shared" si="1"/>
        <v>0</v>
      </c>
      <c r="I32" s="29">
        <f t="shared" si="2"/>
        <v>5999326.2840017211</v>
      </c>
      <c r="J32" s="29">
        <f t="shared" si="3"/>
        <v>0</v>
      </c>
      <c r="K32" s="29">
        <f>J32*'1. Inputs'!$C$19</f>
        <v>0</v>
      </c>
      <c r="L32" s="29">
        <f>J32*'1. Inputs'!$C$20</f>
        <v>0</v>
      </c>
      <c r="M32" s="7">
        <f t="shared" si="4"/>
        <v>0</v>
      </c>
      <c r="N32" s="29">
        <f>(H32+K32)*'1. Inputs'!$C$12</f>
        <v>0</v>
      </c>
      <c r="O32" s="29">
        <f>(H32+K32)*'1. Inputs'!$C$11</f>
        <v>0</v>
      </c>
      <c r="P32" s="29">
        <f t="shared" si="5"/>
        <v>0</v>
      </c>
      <c r="Q32" s="29">
        <f t="shared" si="6"/>
        <v>0</v>
      </c>
      <c r="R32" s="7">
        <f t="shared" si="7"/>
        <v>0</v>
      </c>
      <c r="S32" s="29">
        <f t="shared" si="9"/>
        <v>0</v>
      </c>
      <c r="T32" s="29">
        <f t="shared" si="10"/>
        <v>0</v>
      </c>
    </row>
    <row r="33" spans="2:20" x14ac:dyDescent="0.3">
      <c r="B33" s="15">
        <f>'2. Monthly CF'!B33</f>
        <v>28</v>
      </c>
      <c r="C33" s="20">
        <f>'2. Monthly CF'!C33</f>
        <v>45930</v>
      </c>
      <c r="D33" s="28">
        <f>MAX(0,'2. Monthly CF'!D33)</f>
        <v>0</v>
      </c>
      <c r="E33" s="29">
        <f t="shared" si="8"/>
        <v>5999326.2840017211</v>
      </c>
      <c r="F33" s="29">
        <f>E33*((1+'1. Inputs'!$C$16)^((C33-C32)/365)-1)</f>
        <v>42644.667826883022</v>
      </c>
      <c r="G33" s="29">
        <f t="shared" si="0"/>
        <v>6041970.9518286036</v>
      </c>
      <c r="H33" s="29">
        <f t="shared" si="1"/>
        <v>0</v>
      </c>
      <c r="I33" s="29">
        <f t="shared" si="2"/>
        <v>6041970.9518286036</v>
      </c>
      <c r="J33" s="29">
        <f t="shared" si="3"/>
        <v>0</v>
      </c>
      <c r="K33" s="29">
        <f>J33*'1. Inputs'!$C$19</f>
        <v>0</v>
      </c>
      <c r="L33" s="29">
        <f>J33*'1. Inputs'!$C$20</f>
        <v>0</v>
      </c>
      <c r="M33" s="7">
        <f t="shared" si="4"/>
        <v>0</v>
      </c>
      <c r="N33" s="29">
        <f>(H33+K33)*'1. Inputs'!$C$12</f>
        <v>0</v>
      </c>
      <c r="O33" s="29">
        <f>(H33+K33)*'1. Inputs'!$C$11</f>
        <v>0</v>
      </c>
      <c r="P33" s="29">
        <f t="shared" si="5"/>
        <v>0</v>
      </c>
      <c r="Q33" s="29">
        <f t="shared" si="6"/>
        <v>0</v>
      </c>
      <c r="R33" s="7">
        <f t="shared" si="7"/>
        <v>0</v>
      </c>
      <c r="S33" s="29">
        <f t="shared" si="9"/>
        <v>0</v>
      </c>
      <c r="T33" s="29">
        <f t="shared" si="10"/>
        <v>0</v>
      </c>
    </row>
    <row r="34" spans="2:20" x14ac:dyDescent="0.3">
      <c r="B34" s="15">
        <f>'2. Monthly CF'!B34</f>
        <v>29</v>
      </c>
      <c r="C34" s="20">
        <f>'2. Monthly CF'!C34</f>
        <v>45961</v>
      </c>
      <c r="D34" s="28">
        <f>MAX(0,'2. Monthly CF'!D34)</f>
        <v>50000</v>
      </c>
      <c r="E34" s="29">
        <f t="shared" si="8"/>
        <v>6041970.9518286036</v>
      </c>
      <c r="F34" s="29">
        <f>E34*((1+'1. Inputs'!$C$16)^((C34-C33)/365)-1)</f>
        <v>44384.635353194899</v>
      </c>
      <c r="G34" s="29">
        <f t="shared" si="0"/>
        <v>6086355.5871817982</v>
      </c>
      <c r="H34" s="29">
        <f t="shared" si="1"/>
        <v>50000</v>
      </c>
      <c r="I34" s="29">
        <f t="shared" si="2"/>
        <v>6036355.5871817982</v>
      </c>
      <c r="J34" s="29">
        <f t="shared" si="3"/>
        <v>0</v>
      </c>
      <c r="K34" s="29">
        <f>J34*'1. Inputs'!$C$19</f>
        <v>0</v>
      </c>
      <c r="L34" s="29">
        <f>J34*'1. Inputs'!$C$20</f>
        <v>0</v>
      </c>
      <c r="M34" s="7">
        <f t="shared" si="4"/>
        <v>0</v>
      </c>
      <c r="N34" s="29">
        <f>(H34+K34)*'1. Inputs'!$C$12</f>
        <v>45000</v>
      </c>
      <c r="O34" s="29">
        <f>(H34+K34)*'1. Inputs'!$C$11</f>
        <v>5000</v>
      </c>
      <c r="P34" s="29">
        <f t="shared" si="5"/>
        <v>0</v>
      </c>
      <c r="Q34" s="29">
        <f t="shared" si="6"/>
        <v>5000</v>
      </c>
      <c r="R34" s="7">
        <f t="shared" si="7"/>
        <v>0</v>
      </c>
      <c r="S34" s="29">
        <f t="shared" si="9"/>
        <v>5000</v>
      </c>
      <c r="T34" s="29">
        <f t="shared" si="10"/>
        <v>45000</v>
      </c>
    </row>
    <row r="35" spans="2:20" x14ac:dyDescent="0.3">
      <c r="B35" s="15">
        <f>'2. Monthly CF'!B35</f>
        <v>30</v>
      </c>
      <c r="C35" s="20">
        <f>'2. Monthly CF'!C35</f>
        <v>45991</v>
      </c>
      <c r="D35" s="28">
        <f>MAX(0,'2. Monthly CF'!D35)</f>
        <v>0</v>
      </c>
      <c r="E35" s="29">
        <f t="shared" si="8"/>
        <v>6036355.5871817982</v>
      </c>
      <c r="F35" s="29">
        <f>E35*((1+'1. Inputs'!$C$16)^((C35-C34)/365)-1)</f>
        <v>42907.881104378241</v>
      </c>
      <c r="G35" s="29">
        <f t="shared" si="0"/>
        <v>6079263.4682861762</v>
      </c>
      <c r="H35" s="29">
        <f t="shared" si="1"/>
        <v>0</v>
      </c>
      <c r="I35" s="29">
        <f t="shared" si="2"/>
        <v>6079263.4682861762</v>
      </c>
      <c r="J35" s="29">
        <f t="shared" si="3"/>
        <v>0</v>
      </c>
      <c r="K35" s="29">
        <f>J35*'1. Inputs'!$C$19</f>
        <v>0</v>
      </c>
      <c r="L35" s="29">
        <f>J35*'1. Inputs'!$C$20</f>
        <v>0</v>
      </c>
      <c r="M35" s="7">
        <f t="shared" si="4"/>
        <v>0</v>
      </c>
      <c r="N35" s="29">
        <f>(H35+K35)*'1. Inputs'!$C$12</f>
        <v>0</v>
      </c>
      <c r="O35" s="29">
        <f>(H35+K35)*'1. Inputs'!$C$11</f>
        <v>0</v>
      </c>
      <c r="P35" s="29">
        <f t="shared" si="5"/>
        <v>0</v>
      </c>
      <c r="Q35" s="29">
        <f t="shared" si="6"/>
        <v>0</v>
      </c>
      <c r="R35" s="7">
        <f t="shared" si="7"/>
        <v>0</v>
      </c>
      <c r="S35" s="29">
        <f t="shared" si="9"/>
        <v>0</v>
      </c>
      <c r="T35" s="29">
        <f t="shared" si="10"/>
        <v>0</v>
      </c>
    </row>
    <row r="36" spans="2:20" x14ac:dyDescent="0.3">
      <c r="B36" s="15">
        <f>'2. Monthly CF'!B36</f>
        <v>31</v>
      </c>
      <c r="C36" s="20">
        <f>'2. Monthly CF'!C36</f>
        <v>46022</v>
      </c>
      <c r="D36" s="28">
        <f>MAX(0,'2. Monthly CF'!D36)</f>
        <v>9951466</v>
      </c>
      <c r="E36" s="29">
        <f t="shared" si="8"/>
        <v>6079263.4682861762</v>
      </c>
      <c r="F36" s="29">
        <f>E36*((1+'1. Inputs'!$C$16)^((C36-C35)/365)-1)</f>
        <v>44658.588134095218</v>
      </c>
      <c r="G36" s="29">
        <f t="shared" si="0"/>
        <v>6123922.0564202713</v>
      </c>
      <c r="H36" s="29">
        <f t="shared" si="1"/>
        <v>6123922.0564202713</v>
      </c>
      <c r="I36" s="29">
        <f t="shared" si="2"/>
        <v>0</v>
      </c>
      <c r="J36" s="29">
        <f t="shared" si="3"/>
        <v>3827543.9435797287</v>
      </c>
      <c r="K36" s="29">
        <f>J36*'1. Inputs'!$C$19</f>
        <v>2870657.9576847963</v>
      </c>
      <c r="L36" s="29">
        <f>J36*'1. Inputs'!$C$20</f>
        <v>956885.98589493218</v>
      </c>
      <c r="M36" s="7">
        <f t="shared" si="4"/>
        <v>0</v>
      </c>
      <c r="N36" s="29">
        <f>(H36+K36)*'1. Inputs'!$C$12</f>
        <v>8095122.01269456</v>
      </c>
      <c r="O36" s="29">
        <f>(H36+K36)*'1. Inputs'!$C$11</f>
        <v>899458.00141050667</v>
      </c>
      <c r="P36" s="29">
        <f t="shared" si="5"/>
        <v>956885.98589493218</v>
      </c>
      <c r="Q36" s="29">
        <f t="shared" si="6"/>
        <v>1856343.9873054388</v>
      </c>
      <c r="R36" s="7">
        <f t="shared" si="7"/>
        <v>0</v>
      </c>
      <c r="S36" s="29">
        <f t="shared" si="9"/>
        <v>1856343.9873054388</v>
      </c>
      <c r="T36" s="29">
        <f t="shared" si="10"/>
        <v>8095122.01269456</v>
      </c>
    </row>
    <row r="37" spans="2:20" x14ac:dyDescent="0.3">
      <c r="B37" s="21" t="str">
        <f>"Tot"</f>
        <v>Tot</v>
      </c>
      <c r="C37" s="18"/>
      <c r="D37" s="31">
        <f>SUM(D5:D36)</f>
        <v>12076466</v>
      </c>
      <c r="E37" s="32"/>
      <c r="F37" s="32"/>
      <c r="G37" s="32"/>
      <c r="H37" s="31">
        <f>SUM(H5:H36)</f>
        <v>8248922.0564202713</v>
      </c>
      <c r="I37" s="32"/>
      <c r="J37" s="31">
        <f>SUM(J5:J36)</f>
        <v>3827543.9435797287</v>
      </c>
      <c r="K37" s="31">
        <f>SUM(K5:K36)</f>
        <v>2870657.9576847963</v>
      </c>
      <c r="L37" s="31">
        <f>SUM(L5:L36)</f>
        <v>956885.98589493218</v>
      </c>
      <c r="M37">
        <f>ROUND(SUM(M5:M36),2)</f>
        <v>0</v>
      </c>
      <c r="N37" s="31">
        <f>SUM(N5:N36)</f>
        <v>10007622.01269456</v>
      </c>
      <c r="O37" s="31">
        <f>SUM(O5:O36)</f>
        <v>1111958.0014105067</v>
      </c>
      <c r="P37" s="31">
        <f>SUM(P5:P36)</f>
        <v>956885.98589493218</v>
      </c>
      <c r="Q37" s="31">
        <f>SUM(Q5:Q36)</f>
        <v>2068843.9873054388</v>
      </c>
      <c r="R37" s="10">
        <f>ROUND(SUM(R5:R36),2)</f>
        <v>0</v>
      </c>
    </row>
    <row r="39" spans="2:20" ht="15" customHeight="1" x14ac:dyDescent="0.3">
      <c r="B39" s="49" t="s">
        <v>68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</row>
    <row r="40" spans="2:20" ht="26.4" x14ac:dyDescent="0.3">
      <c r="B40" s="4" t="s">
        <v>69</v>
      </c>
      <c r="C40" s="4" t="s">
        <v>9</v>
      </c>
      <c r="D40" s="4" t="s">
        <v>10</v>
      </c>
    </row>
    <row r="41" spans="2:20" ht="52.8" x14ac:dyDescent="0.3">
      <c r="B41" s="5" t="s">
        <v>70</v>
      </c>
      <c r="C41" s="28">
        <f>'1. Inputs'!$D$11</f>
        <v>679000</v>
      </c>
      <c r="D41" s="28">
        <f>'1. Inputs'!$D$12</f>
        <v>6111000</v>
      </c>
    </row>
    <row r="42" spans="2:20" ht="39.6" x14ac:dyDescent="0.3">
      <c r="B42" s="5" t="s">
        <v>43</v>
      </c>
      <c r="C42" s="29">
        <f>SUM(Q5:Q36)</f>
        <v>2068843.9873054388</v>
      </c>
      <c r="D42" s="29">
        <f>SUM(N5:N36)</f>
        <v>10007622.01269456</v>
      </c>
    </row>
    <row r="43" spans="2:20" x14ac:dyDescent="0.3">
      <c r="B43" s="5" t="s">
        <v>71</v>
      </c>
      <c r="C43" s="29">
        <f>C42-C41</f>
        <v>1389843.9873054388</v>
      </c>
      <c r="D43" s="29">
        <f>D42-D41</f>
        <v>3896622.01269456</v>
      </c>
    </row>
    <row r="44" spans="2:20" x14ac:dyDescent="0.3">
      <c r="B44" s="5" t="s">
        <v>72</v>
      </c>
      <c r="C44" s="19">
        <f>C42/C41</f>
        <v>3.0468983612745784</v>
      </c>
      <c r="D44" s="19">
        <f>D42/D41</f>
        <v>1.6376406500891114</v>
      </c>
    </row>
    <row r="45" spans="2:20" ht="26.4" x14ac:dyDescent="0.3">
      <c r="B45" s="5" t="s">
        <v>73</v>
      </c>
      <c r="C45" s="26">
        <f>XIRR(S5:S36,C5:C36)</f>
        <v>0.58708112835884108</v>
      </c>
      <c r="D45" s="26">
        <f>XIRR(T5:T36,C5:C36)</f>
        <v>0.2367765843868255</v>
      </c>
    </row>
    <row r="47" spans="2:20" ht="92.4" x14ac:dyDescent="0.3">
      <c r="B47" s="22" t="s">
        <v>74</v>
      </c>
      <c r="C47" s="23">
        <f>ROUND(C42+D42-'2. Monthly CF'!$D$37,2)</f>
        <v>0</v>
      </c>
      <c r="D47" s="24" t="str">
        <f>IF(ABS(C47)&lt;0.5,"OK","FAIL")</f>
        <v>OK</v>
      </c>
    </row>
  </sheetData>
  <mergeCells count="5">
    <mergeCell ref="B2:R2"/>
    <mergeCell ref="E3:I3"/>
    <mergeCell ref="J3:M3"/>
    <mergeCell ref="N3:Q3"/>
    <mergeCell ref="B39:R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3436C-01B2-46C9-A53A-AA7D234325CD}">
  <dimension ref="B2:AA47"/>
  <sheetViews>
    <sheetView showGridLines="0" topLeftCell="A8" workbookViewId="0" tabSelected="0"/>
  </sheetViews>
  <sheetFormatPr defaultColWidth="8.6640625" defaultRowHeight="14.4" x14ac:dyDescent="0.3"/>
  <cols>
    <col min="1" max="1" width="4" customWidth="1"/>
    <col min="2" max="2" width="6" customWidth="1"/>
    <col min="3" max="3" width="11" customWidth="1"/>
    <col min="4" max="5" width="13" customWidth="1"/>
    <col min="6" max="6" width="11" customWidth="1"/>
    <col min="7" max="8" width="13" customWidth="1"/>
    <col min="9" max="9" width="12" customWidth="1"/>
    <col min="10" max="10" width="13" customWidth="1"/>
    <col min="11" max="11" width="11" customWidth="1"/>
    <col min="12" max="16" width="13" customWidth="1"/>
    <col min="17" max="17" width="12" customWidth="1"/>
    <col min="18" max="20" width="13" customWidth="1"/>
    <col min="21" max="21" width="14" customWidth="1"/>
    <col min="22" max="24" width="13" customWidth="1"/>
    <col min="25" max="25" width="11" customWidth="1"/>
    <col min="26" max="27" width="14" customWidth="1"/>
  </cols>
  <sheetData>
    <row r="2" spans="2:27" ht="25.5" customHeight="1" x14ac:dyDescent="0.3">
      <c r="B2" s="48" t="s">
        <v>141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2:27" ht="15" customHeight="1" x14ac:dyDescent="0.3">
      <c r="E3" s="51" t="s">
        <v>75</v>
      </c>
      <c r="F3" s="51"/>
      <c r="G3" s="51"/>
      <c r="H3" s="51" t="s">
        <v>76</v>
      </c>
      <c r="I3" s="51"/>
      <c r="J3" s="51" t="s">
        <v>77</v>
      </c>
      <c r="K3" s="51"/>
      <c r="L3" s="51"/>
      <c r="M3" s="51"/>
      <c r="N3" s="51" t="s">
        <v>78</v>
      </c>
      <c r="O3" s="51"/>
      <c r="P3" s="51"/>
      <c r="Q3" s="51"/>
      <c r="R3" s="51" t="s">
        <v>79</v>
      </c>
      <c r="S3" s="51"/>
      <c r="T3" s="51"/>
      <c r="U3" s="51" t="s">
        <v>49</v>
      </c>
      <c r="V3" s="51"/>
      <c r="W3" s="51"/>
      <c r="X3" s="51"/>
    </row>
    <row r="4" spans="2:27" ht="26.4" x14ac:dyDescent="0.3">
      <c r="B4" s="4" t="s">
        <v>50</v>
      </c>
      <c r="C4" s="4" t="s">
        <v>35</v>
      </c>
      <c r="D4" s="4" t="s">
        <v>80</v>
      </c>
      <c r="E4" s="4" t="s">
        <v>81</v>
      </c>
      <c r="F4" s="4" t="s">
        <v>82</v>
      </c>
      <c r="G4" s="4" t="s">
        <v>83</v>
      </c>
      <c r="H4" s="4" t="s">
        <v>84</v>
      </c>
      <c r="I4" s="4" t="s">
        <v>85</v>
      </c>
      <c r="J4" s="4" t="s">
        <v>86</v>
      </c>
      <c r="K4" s="4" t="s">
        <v>87</v>
      </c>
      <c r="L4" s="4" t="s">
        <v>88</v>
      </c>
      <c r="M4" s="4" t="s">
        <v>89</v>
      </c>
      <c r="N4" s="4" t="s">
        <v>90</v>
      </c>
      <c r="O4" s="4" t="s">
        <v>91</v>
      </c>
      <c r="P4" s="4" t="s">
        <v>92</v>
      </c>
      <c r="Q4" s="4" t="s">
        <v>93</v>
      </c>
      <c r="R4" s="4" t="s">
        <v>94</v>
      </c>
      <c r="S4" s="4" t="s">
        <v>95</v>
      </c>
      <c r="T4" s="4" t="s">
        <v>96</v>
      </c>
      <c r="U4" s="4" t="s">
        <v>97</v>
      </c>
      <c r="V4" s="4" t="s">
        <v>98</v>
      </c>
      <c r="W4" s="4" t="s">
        <v>99</v>
      </c>
      <c r="X4" s="4" t="s">
        <v>64</v>
      </c>
      <c r="Y4" s="4" t="s">
        <v>100</v>
      </c>
      <c r="Z4" s="4" t="s">
        <v>101</v>
      </c>
      <c r="AA4" s="4" t="s">
        <v>102</v>
      </c>
    </row>
    <row r="5" spans="2:27" x14ac:dyDescent="0.3">
      <c r="B5" s="15">
        <f>'2. Monthly CF'!B5</f>
        <v>0</v>
      </c>
      <c r="C5" s="20">
        <f>'2. Monthly CF'!C5</f>
        <v>45077</v>
      </c>
      <c r="D5" s="28">
        <f>MAX(0,'2. Monthly CF'!D5)</f>
        <v>0</v>
      </c>
      <c r="E5" s="28">
        <f>'1. Inputs'!$C$6</f>
        <v>6790000</v>
      </c>
      <c r="F5" s="29">
        <f>0</f>
        <v>0</v>
      </c>
      <c r="G5" s="29">
        <f t="shared" ref="G5:G36" si="0">E5+F5</f>
        <v>6790000</v>
      </c>
      <c r="H5" s="29">
        <f t="shared" ref="H5:H36" si="1">MIN(D5,G5)</f>
        <v>0</v>
      </c>
      <c r="I5" s="29">
        <f t="shared" ref="I5:I36" si="2">G5-H5</f>
        <v>6790000</v>
      </c>
      <c r="J5" s="28">
        <f>'1. Inputs'!$C$6</f>
        <v>6790000</v>
      </c>
      <c r="K5" s="29">
        <f>0</f>
        <v>0</v>
      </c>
      <c r="L5" s="29">
        <f t="shared" ref="L5:L36" si="3">J5+K5</f>
        <v>6790000</v>
      </c>
      <c r="M5" s="29">
        <f t="shared" ref="M5:M36" si="4">MAX(0,L5-H5)</f>
        <v>6790000</v>
      </c>
      <c r="N5" s="29">
        <f>MIN(MAX(0,D5-H5),IF('1. Inputs'!$C$19=0,0,M5/'1. Inputs'!$C$19))</f>
        <v>0</v>
      </c>
      <c r="O5" s="29">
        <f>N5*'1. Inputs'!$C$19</f>
        <v>0</v>
      </c>
      <c r="P5" s="29">
        <f>N5*'1. Inputs'!$C$20</f>
        <v>0</v>
      </c>
      <c r="Q5" s="29">
        <f t="shared" ref="Q5:Q36" si="5">M5-O5</f>
        <v>6790000</v>
      </c>
      <c r="R5" s="29">
        <f t="shared" ref="R5:R36" si="6">MAX(0,D5-H5-N5)</f>
        <v>0</v>
      </c>
      <c r="S5" s="29">
        <f>R5*'1. Inputs'!$C$22</f>
        <v>0</v>
      </c>
      <c r="T5" s="29">
        <f>R5*'1. Inputs'!$C$23</f>
        <v>0</v>
      </c>
      <c r="U5" s="29">
        <f>(H5+O5+S5)*'1. Inputs'!$C$12</f>
        <v>0</v>
      </c>
      <c r="V5" s="29">
        <f>(H5+O5+S5)*'1. Inputs'!$C$11</f>
        <v>0</v>
      </c>
      <c r="W5" s="29">
        <f t="shared" ref="W5:W36" si="7">P5+T5</f>
        <v>0</v>
      </c>
      <c r="X5" s="29">
        <f t="shared" ref="X5:X36" si="8">V5+W5</f>
        <v>0</v>
      </c>
      <c r="Y5" s="7">
        <f t="shared" ref="Y5:Y36" si="9">ROUND(U5+X5-D5,2)</f>
        <v>0</v>
      </c>
      <c r="Z5" s="29">
        <f>-'1. Inputs'!$D$11+X5</f>
        <v>-679000</v>
      </c>
      <c r="AA5" s="29">
        <f>-'1. Inputs'!$D$12+U5</f>
        <v>-6111000</v>
      </c>
    </row>
    <row r="6" spans="2:27" x14ac:dyDescent="0.3">
      <c r="B6" s="15">
        <f>'2. Monthly CF'!B6</f>
        <v>1</v>
      </c>
      <c r="C6" s="20">
        <f>'2. Monthly CF'!C6</f>
        <v>45107</v>
      </c>
      <c r="D6" s="28">
        <f>MAX(0,'2. Monthly CF'!D6)</f>
        <v>0</v>
      </c>
      <c r="E6" s="29">
        <f t="shared" ref="E6:E36" si="10">I5</f>
        <v>6790000</v>
      </c>
      <c r="F6" s="29">
        <f>E6*((1+'1. Inputs'!$C$16)^((C6-C5)/365)-1)</f>
        <v>48264.968571003068</v>
      </c>
      <c r="G6" s="29">
        <f t="shared" si="0"/>
        <v>6838264.9685710035</v>
      </c>
      <c r="H6" s="29">
        <f t="shared" si="1"/>
        <v>0</v>
      </c>
      <c r="I6" s="29">
        <f t="shared" si="2"/>
        <v>6838264.9685710035</v>
      </c>
      <c r="J6" s="29">
        <f t="shared" ref="J6:J36" si="11">Q5</f>
        <v>6790000</v>
      </c>
      <c r="K6" s="29">
        <f>J6*((1+'1. Inputs'!$C$17)^((C6-C5)/365)-1)</f>
        <v>93001.821273627458</v>
      </c>
      <c r="L6" s="29">
        <f t="shared" si="3"/>
        <v>6883001.8212736277</v>
      </c>
      <c r="M6" s="29">
        <f t="shared" si="4"/>
        <v>6883001.8212736277</v>
      </c>
      <c r="N6" s="29">
        <f>MIN(MAX(0,D6-H6),IF('1. Inputs'!$C$19=0,0,M6/'1. Inputs'!$C$19))</f>
        <v>0</v>
      </c>
      <c r="O6" s="29">
        <f>N6*'1. Inputs'!$C$19</f>
        <v>0</v>
      </c>
      <c r="P6" s="29">
        <f>N6*'1. Inputs'!$C$20</f>
        <v>0</v>
      </c>
      <c r="Q6" s="29">
        <f t="shared" si="5"/>
        <v>6883001.8212736277</v>
      </c>
      <c r="R6" s="29">
        <f t="shared" si="6"/>
        <v>0</v>
      </c>
      <c r="S6" s="29">
        <f>R6*'1. Inputs'!$C$22</f>
        <v>0</v>
      </c>
      <c r="T6" s="29">
        <f>R6*'1. Inputs'!$C$23</f>
        <v>0</v>
      </c>
      <c r="U6" s="29">
        <f>(H6+O6+S6)*'1. Inputs'!$C$12</f>
        <v>0</v>
      </c>
      <c r="V6" s="29">
        <f>(H6+O6+S6)*'1. Inputs'!$C$11</f>
        <v>0</v>
      </c>
      <c r="W6" s="29">
        <f t="shared" si="7"/>
        <v>0</v>
      </c>
      <c r="X6" s="29">
        <f t="shared" si="8"/>
        <v>0</v>
      </c>
      <c r="Y6" s="7">
        <f t="shared" si="9"/>
        <v>0</v>
      </c>
      <c r="Z6" s="29">
        <f t="shared" ref="Z6:Z36" si="12">X6</f>
        <v>0</v>
      </c>
      <c r="AA6" s="29">
        <f t="shared" ref="AA6:AA36" si="13">U6</f>
        <v>0</v>
      </c>
    </row>
    <row r="7" spans="2:27" x14ac:dyDescent="0.3">
      <c r="B7" s="15">
        <f>'2. Monthly CF'!B7</f>
        <v>2</v>
      </c>
      <c r="C7" s="20">
        <f>'2. Monthly CF'!C7</f>
        <v>45138</v>
      </c>
      <c r="D7" s="28">
        <f>MAX(0,'2. Monthly CF'!D7)</f>
        <v>0</v>
      </c>
      <c r="E7" s="29">
        <f t="shared" si="10"/>
        <v>6838264.9685710035</v>
      </c>
      <c r="F7" s="29">
        <f>E7*((1+'1. Inputs'!$C$16)^((C7-C6)/365)-1)</f>
        <v>50234.252944677304</v>
      </c>
      <c r="G7" s="29">
        <f t="shared" si="0"/>
        <v>6888499.2215156807</v>
      </c>
      <c r="H7" s="29">
        <f t="shared" si="1"/>
        <v>0</v>
      </c>
      <c r="I7" s="29">
        <f t="shared" si="2"/>
        <v>6888499.2215156807</v>
      </c>
      <c r="J7" s="29">
        <f t="shared" si="11"/>
        <v>6883001.8212736277</v>
      </c>
      <c r="K7" s="29">
        <f>J7*((1+'1. Inputs'!$C$17)^((C7-C6)/365)-1)</f>
        <v>97440.319273278219</v>
      </c>
      <c r="L7" s="29">
        <f t="shared" si="3"/>
        <v>6980442.1405469058</v>
      </c>
      <c r="M7" s="29">
        <f t="shared" si="4"/>
        <v>6980442.1405469058</v>
      </c>
      <c r="N7" s="29">
        <f>MIN(MAX(0,D7-H7),IF('1. Inputs'!$C$19=0,0,M7/'1. Inputs'!$C$19))</f>
        <v>0</v>
      </c>
      <c r="O7" s="29">
        <f>N7*'1. Inputs'!$C$19</f>
        <v>0</v>
      </c>
      <c r="P7" s="29">
        <f>N7*'1. Inputs'!$C$20</f>
        <v>0</v>
      </c>
      <c r="Q7" s="29">
        <f t="shared" si="5"/>
        <v>6980442.1405469058</v>
      </c>
      <c r="R7" s="29">
        <f t="shared" si="6"/>
        <v>0</v>
      </c>
      <c r="S7" s="29">
        <f>R7*'1. Inputs'!$C$22</f>
        <v>0</v>
      </c>
      <c r="T7" s="29">
        <f>R7*'1. Inputs'!$C$23</f>
        <v>0</v>
      </c>
      <c r="U7" s="29">
        <f>(H7+O7+S7)*'1. Inputs'!$C$12</f>
        <v>0</v>
      </c>
      <c r="V7" s="29">
        <f>(H7+O7+S7)*'1. Inputs'!$C$11</f>
        <v>0</v>
      </c>
      <c r="W7" s="29">
        <f t="shared" si="7"/>
        <v>0</v>
      </c>
      <c r="X7" s="29">
        <f t="shared" si="8"/>
        <v>0</v>
      </c>
      <c r="Y7" s="7">
        <f t="shared" si="9"/>
        <v>0</v>
      </c>
      <c r="Z7" s="29">
        <f t="shared" si="12"/>
        <v>0</v>
      </c>
      <c r="AA7" s="29">
        <f t="shared" si="13"/>
        <v>0</v>
      </c>
    </row>
    <row r="8" spans="2:27" x14ac:dyDescent="0.3">
      <c r="B8" s="15">
        <f>'2. Monthly CF'!B8</f>
        <v>3</v>
      </c>
      <c r="C8" s="20">
        <f>'2. Monthly CF'!C8</f>
        <v>45169</v>
      </c>
      <c r="D8" s="28">
        <f>MAX(0,'2. Monthly CF'!D8)</f>
        <v>0</v>
      </c>
      <c r="E8" s="29">
        <f t="shared" si="10"/>
        <v>6888499.2215156807</v>
      </c>
      <c r="F8" s="29">
        <f>E8*((1+'1. Inputs'!$C$16)^((C8-C7)/365)-1)</f>
        <v>50603.276400262585</v>
      </c>
      <c r="G8" s="29">
        <f t="shared" si="0"/>
        <v>6939102.4979159432</v>
      </c>
      <c r="H8" s="29">
        <f t="shared" si="1"/>
        <v>0</v>
      </c>
      <c r="I8" s="29">
        <f t="shared" si="2"/>
        <v>6939102.4979159432</v>
      </c>
      <c r="J8" s="29">
        <f t="shared" si="11"/>
        <v>6980442.1405469058</v>
      </c>
      <c r="K8" s="29">
        <f>J8*((1+'1. Inputs'!$C$17)^((C8-C7)/365)-1)</f>
        <v>98819.7487818878</v>
      </c>
      <c r="L8" s="29">
        <f t="shared" si="3"/>
        <v>7079261.8893287936</v>
      </c>
      <c r="M8" s="29">
        <f t="shared" si="4"/>
        <v>7079261.8893287936</v>
      </c>
      <c r="N8" s="29">
        <f>MIN(MAX(0,D8-H8),IF('1. Inputs'!$C$19=0,0,M8/'1. Inputs'!$C$19))</f>
        <v>0</v>
      </c>
      <c r="O8" s="29">
        <f>N8*'1. Inputs'!$C$19</f>
        <v>0</v>
      </c>
      <c r="P8" s="29">
        <f>N8*'1. Inputs'!$C$20</f>
        <v>0</v>
      </c>
      <c r="Q8" s="29">
        <f t="shared" si="5"/>
        <v>7079261.8893287936</v>
      </c>
      <c r="R8" s="29">
        <f t="shared" si="6"/>
        <v>0</v>
      </c>
      <c r="S8" s="29">
        <f>R8*'1. Inputs'!$C$22</f>
        <v>0</v>
      </c>
      <c r="T8" s="29">
        <f>R8*'1. Inputs'!$C$23</f>
        <v>0</v>
      </c>
      <c r="U8" s="29">
        <f>(H8+O8+S8)*'1. Inputs'!$C$12</f>
        <v>0</v>
      </c>
      <c r="V8" s="29">
        <f>(H8+O8+S8)*'1. Inputs'!$C$11</f>
        <v>0</v>
      </c>
      <c r="W8" s="29">
        <f t="shared" si="7"/>
        <v>0</v>
      </c>
      <c r="X8" s="29">
        <f t="shared" si="8"/>
        <v>0</v>
      </c>
      <c r="Y8" s="7">
        <f t="shared" si="9"/>
        <v>0</v>
      </c>
      <c r="Z8" s="29">
        <f t="shared" si="12"/>
        <v>0</v>
      </c>
      <c r="AA8" s="29">
        <f t="shared" si="13"/>
        <v>0</v>
      </c>
    </row>
    <row r="9" spans="2:27" x14ac:dyDescent="0.3">
      <c r="B9" s="15">
        <f>'2. Monthly CF'!B9</f>
        <v>4</v>
      </c>
      <c r="C9" s="20">
        <f>'2. Monthly CF'!C9</f>
        <v>45199</v>
      </c>
      <c r="D9" s="28">
        <f>MAX(0,'2. Monthly CF'!D9)</f>
        <v>0</v>
      </c>
      <c r="E9" s="29">
        <f t="shared" si="10"/>
        <v>6939102.4979159432</v>
      </c>
      <c r="F9" s="29">
        <f>E9*((1+'1. Inputs'!$C$16)^((C9-C8)/365)-1)</f>
        <v>49324.825327375831</v>
      </c>
      <c r="G9" s="29">
        <f t="shared" si="0"/>
        <v>6988427.3232433191</v>
      </c>
      <c r="H9" s="29">
        <f t="shared" si="1"/>
        <v>0</v>
      </c>
      <c r="I9" s="29">
        <f t="shared" si="2"/>
        <v>6988427.3232433191</v>
      </c>
      <c r="J9" s="29">
        <f t="shared" si="11"/>
        <v>7079261.8893287936</v>
      </c>
      <c r="K9" s="29">
        <f>J9*((1+'1. Inputs'!$C$17)^((C9-C8)/365)-1)</f>
        <v>96963.806919080816</v>
      </c>
      <c r="L9" s="29">
        <f t="shared" si="3"/>
        <v>7176225.6962478748</v>
      </c>
      <c r="M9" s="29">
        <f t="shared" si="4"/>
        <v>7176225.6962478748</v>
      </c>
      <c r="N9" s="29">
        <f>MIN(MAX(0,D9-H9),IF('1. Inputs'!$C$19=0,0,M9/'1. Inputs'!$C$19))</f>
        <v>0</v>
      </c>
      <c r="O9" s="29">
        <f>N9*'1. Inputs'!$C$19</f>
        <v>0</v>
      </c>
      <c r="P9" s="29">
        <f>N9*'1. Inputs'!$C$20</f>
        <v>0</v>
      </c>
      <c r="Q9" s="29">
        <f t="shared" si="5"/>
        <v>7176225.6962478748</v>
      </c>
      <c r="R9" s="29">
        <f t="shared" si="6"/>
        <v>0</v>
      </c>
      <c r="S9" s="29">
        <f>R9*'1. Inputs'!$C$22</f>
        <v>0</v>
      </c>
      <c r="T9" s="29">
        <f>R9*'1. Inputs'!$C$23</f>
        <v>0</v>
      </c>
      <c r="U9" s="29">
        <f>(H9+O9+S9)*'1. Inputs'!$C$12</f>
        <v>0</v>
      </c>
      <c r="V9" s="29">
        <f>(H9+O9+S9)*'1. Inputs'!$C$11</f>
        <v>0</v>
      </c>
      <c r="W9" s="29">
        <f t="shared" si="7"/>
        <v>0</v>
      </c>
      <c r="X9" s="29">
        <f t="shared" si="8"/>
        <v>0</v>
      </c>
      <c r="Y9" s="7">
        <f t="shared" si="9"/>
        <v>0</v>
      </c>
      <c r="Z9" s="29">
        <f t="shared" si="12"/>
        <v>0</v>
      </c>
      <c r="AA9" s="29">
        <f t="shared" si="13"/>
        <v>0</v>
      </c>
    </row>
    <row r="10" spans="2:27" x14ac:dyDescent="0.3">
      <c r="B10" s="15">
        <f>'2. Monthly CF'!B10</f>
        <v>5</v>
      </c>
      <c r="C10" s="20">
        <f>'2. Monthly CF'!C10</f>
        <v>45230</v>
      </c>
      <c r="D10" s="28">
        <f>MAX(0,'2. Monthly CF'!D10)</f>
        <v>400000</v>
      </c>
      <c r="E10" s="29">
        <f t="shared" si="10"/>
        <v>6988427.3232433191</v>
      </c>
      <c r="F10" s="29">
        <f>E10*((1+'1. Inputs'!$C$16)^((C10-C9)/365)-1)</f>
        <v>51337.353474131312</v>
      </c>
      <c r="G10" s="29">
        <f t="shared" si="0"/>
        <v>7039764.6767174499</v>
      </c>
      <c r="H10" s="29">
        <f t="shared" si="1"/>
        <v>400000</v>
      </c>
      <c r="I10" s="29">
        <f t="shared" si="2"/>
        <v>6639764.6767174499</v>
      </c>
      <c r="J10" s="29">
        <f t="shared" si="11"/>
        <v>7176225.6962478748</v>
      </c>
      <c r="K10" s="29">
        <f>J10*((1+'1. Inputs'!$C$17)^((C10-C9)/365)-1)</f>
        <v>101591.39009062569</v>
      </c>
      <c r="L10" s="29">
        <f t="shared" si="3"/>
        <v>7277817.0863385005</v>
      </c>
      <c r="M10" s="29">
        <f t="shared" si="4"/>
        <v>6877817.0863385005</v>
      </c>
      <c r="N10" s="29">
        <f>MIN(MAX(0,D10-H10),IF('1. Inputs'!$C$19=0,0,M10/'1. Inputs'!$C$19))</f>
        <v>0</v>
      </c>
      <c r="O10" s="29">
        <f>N10*'1. Inputs'!$C$19</f>
        <v>0</v>
      </c>
      <c r="P10" s="29">
        <f>N10*'1. Inputs'!$C$20</f>
        <v>0</v>
      </c>
      <c r="Q10" s="29">
        <f t="shared" si="5"/>
        <v>6877817.0863385005</v>
      </c>
      <c r="R10" s="29">
        <f t="shared" si="6"/>
        <v>0</v>
      </c>
      <c r="S10" s="29">
        <f>R10*'1. Inputs'!$C$22</f>
        <v>0</v>
      </c>
      <c r="T10" s="29">
        <f>R10*'1. Inputs'!$C$23</f>
        <v>0</v>
      </c>
      <c r="U10" s="29">
        <f>(H10+O10+S10)*'1. Inputs'!$C$12</f>
        <v>360000</v>
      </c>
      <c r="V10" s="29">
        <f>(H10+O10+S10)*'1. Inputs'!$C$11</f>
        <v>40000</v>
      </c>
      <c r="W10" s="29">
        <f t="shared" si="7"/>
        <v>0</v>
      </c>
      <c r="X10" s="29">
        <f t="shared" si="8"/>
        <v>40000</v>
      </c>
      <c r="Y10" s="7">
        <f t="shared" si="9"/>
        <v>0</v>
      </c>
      <c r="Z10" s="29">
        <f t="shared" si="12"/>
        <v>40000</v>
      </c>
      <c r="AA10" s="29">
        <f t="shared" si="13"/>
        <v>360000</v>
      </c>
    </row>
    <row r="11" spans="2:27" x14ac:dyDescent="0.3">
      <c r="B11" s="15">
        <f>'2. Monthly CF'!B11</f>
        <v>6</v>
      </c>
      <c r="C11" s="20">
        <f>'2. Monthly CF'!C11</f>
        <v>45260</v>
      </c>
      <c r="D11" s="28">
        <f>MAX(0,'2. Monthly CF'!D11)</f>
        <v>0</v>
      </c>
      <c r="E11" s="29">
        <f t="shared" si="10"/>
        <v>6639764.6767174499</v>
      </c>
      <c r="F11" s="29">
        <f>E11*((1+'1. Inputs'!$C$16)^((C11-C10)/365)-1)</f>
        <v>47197.059416881311</v>
      </c>
      <c r="G11" s="29">
        <f t="shared" si="0"/>
        <v>6686961.7361343317</v>
      </c>
      <c r="H11" s="29">
        <f t="shared" si="1"/>
        <v>0</v>
      </c>
      <c r="I11" s="29">
        <f t="shared" si="2"/>
        <v>6686961.7361343317</v>
      </c>
      <c r="J11" s="29">
        <f t="shared" si="11"/>
        <v>6877817.0863385005</v>
      </c>
      <c r="K11" s="29">
        <f>J11*((1+'1. Inputs'!$C$17)^((C11-C10)/365)-1)</f>
        <v>94204.641445707573</v>
      </c>
      <c r="L11" s="29">
        <f t="shared" si="3"/>
        <v>6972021.727784208</v>
      </c>
      <c r="M11" s="29">
        <f t="shared" si="4"/>
        <v>6972021.727784208</v>
      </c>
      <c r="N11" s="29">
        <f>MIN(MAX(0,D11-H11),IF('1. Inputs'!$C$19=0,0,M11/'1. Inputs'!$C$19))</f>
        <v>0</v>
      </c>
      <c r="O11" s="29">
        <f>N11*'1. Inputs'!$C$19</f>
        <v>0</v>
      </c>
      <c r="P11" s="29">
        <f>N11*'1. Inputs'!$C$20</f>
        <v>0</v>
      </c>
      <c r="Q11" s="29">
        <f t="shared" si="5"/>
        <v>6972021.727784208</v>
      </c>
      <c r="R11" s="29">
        <f t="shared" si="6"/>
        <v>0</v>
      </c>
      <c r="S11" s="29">
        <f>R11*'1. Inputs'!$C$22</f>
        <v>0</v>
      </c>
      <c r="T11" s="29">
        <f>R11*'1. Inputs'!$C$23</f>
        <v>0</v>
      </c>
      <c r="U11" s="29">
        <f>(H11+O11+S11)*'1. Inputs'!$C$12</f>
        <v>0</v>
      </c>
      <c r="V11" s="29">
        <f>(H11+O11+S11)*'1. Inputs'!$C$11</f>
        <v>0</v>
      </c>
      <c r="W11" s="29">
        <f t="shared" si="7"/>
        <v>0</v>
      </c>
      <c r="X11" s="29">
        <f t="shared" si="8"/>
        <v>0</v>
      </c>
      <c r="Y11" s="7">
        <f t="shared" si="9"/>
        <v>0</v>
      </c>
      <c r="Z11" s="29">
        <f t="shared" si="12"/>
        <v>0</v>
      </c>
      <c r="AA11" s="29">
        <f t="shared" si="13"/>
        <v>0</v>
      </c>
    </row>
    <row r="12" spans="2:27" x14ac:dyDescent="0.3">
      <c r="B12" s="15">
        <f>'2. Monthly CF'!B12</f>
        <v>7</v>
      </c>
      <c r="C12" s="20">
        <f>'2. Monthly CF'!C12</f>
        <v>45291</v>
      </c>
      <c r="D12" s="28">
        <f>MAX(0,'2. Monthly CF'!D12)</f>
        <v>0</v>
      </c>
      <c r="E12" s="29">
        <f t="shared" si="10"/>
        <v>6686961.7361343317</v>
      </c>
      <c r="F12" s="29">
        <f>E12*((1+'1. Inputs'!$C$16)^((C12-C11)/365)-1)</f>
        <v>49122.771467357568</v>
      </c>
      <c r="G12" s="29">
        <f t="shared" si="0"/>
        <v>6736084.5076016895</v>
      </c>
      <c r="H12" s="29">
        <f t="shared" si="1"/>
        <v>0</v>
      </c>
      <c r="I12" s="29">
        <f t="shared" si="2"/>
        <v>6736084.5076016895</v>
      </c>
      <c r="J12" s="29">
        <f t="shared" si="11"/>
        <v>6972021.727784208</v>
      </c>
      <c r="K12" s="29">
        <f>J12*((1+'1. Inputs'!$C$17)^((C12-C11)/365)-1)</f>
        <v>98700.54385803116</v>
      </c>
      <c r="L12" s="29">
        <f t="shared" si="3"/>
        <v>7070722.2716422388</v>
      </c>
      <c r="M12" s="29">
        <f t="shared" si="4"/>
        <v>7070722.2716422388</v>
      </c>
      <c r="N12" s="29">
        <f>MIN(MAX(0,D12-H12),IF('1. Inputs'!$C$19=0,0,M12/'1. Inputs'!$C$19))</f>
        <v>0</v>
      </c>
      <c r="O12" s="29">
        <f>N12*'1. Inputs'!$C$19</f>
        <v>0</v>
      </c>
      <c r="P12" s="29">
        <f>N12*'1. Inputs'!$C$20</f>
        <v>0</v>
      </c>
      <c r="Q12" s="29">
        <f t="shared" si="5"/>
        <v>7070722.2716422388</v>
      </c>
      <c r="R12" s="29">
        <f t="shared" si="6"/>
        <v>0</v>
      </c>
      <c r="S12" s="29">
        <f>R12*'1. Inputs'!$C$22</f>
        <v>0</v>
      </c>
      <c r="T12" s="29">
        <f>R12*'1. Inputs'!$C$23</f>
        <v>0</v>
      </c>
      <c r="U12" s="29">
        <f>(H12+O12+S12)*'1. Inputs'!$C$12</f>
        <v>0</v>
      </c>
      <c r="V12" s="29">
        <f>(H12+O12+S12)*'1. Inputs'!$C$11</f>
        <v>0</v>
      </c>
      <c r="W12" s="29">
        <f t="shared" si="7"/>
        <v>0</v>
      </c>
      <c r="X12" s="29">
        <f t="shared" si="8"/>
        <v>0</v>
      </c>
      <c r="Y12" s="7">
        <f t="shared" si="9"/>
        <v>0</v>
      </c>
      <c r="Z12" s="29">
        <f t="shared" si="12"/>
        <v>0</v>
      </c>
      <c r="AA12" s="29">
        <f t="shared" si="13"/>
        <v>0</v>
      </c>
    </row>
    <row r="13" spans="2:27" x14ac:dyDescent="0.3">
      <c r="B13" s="15">
        <f>'2. Monthly CF'!B13</f>
        <v>8</v>
      </c>
      <c r="C13" s="20">
        <f>'2. Monthly CF'!C13</f>
        <v>45322</v>
      </c>
      <c r="D13" s="28">
        <f>MAX(0,'2. Monthly CF'!D13)</f>
        <v>100000</v>
      </c>
      <c r="E13" s="29">
        <f t="shared" si="10"/>
        <v>6736084.5076016895</v>
      </c>
      <c r="F13" s="29">
        <f>E13*((1+'1. Inputs'!$C$16)^((C13-C12)/365)-1)</f>
        <v>49483.629921742751</v>
      </c>
      <c r="G13" s="29">
        <f t="shared" si="0"/>
        <v>6785568.1375234323</v>
      </c>
      <c r="H13" s="29">
        <f t="shared" si="1"/>
        <v>100000</v>
      </c>
      <c r="I13" s="29">
        <f t="shared" si="2"/>
        <v>6685568.1375234323</v>
      </c>
      <c r="J13" s="29">
        <f t="shared" si="11"/>
        <v>7070722.2716422388</v>
      </c>
      <c r="K13" s="29">
        <f>J13*((1+'1. Inputs'!$C$17)^((C13-C12)/365)-1)</f>
        <v>100097.81393810693</v>
      </c>
      <c r="L13" s="29">
        <f t="shared" si="3"/>
        <v>7170820.0855803462</v>
      </c>
      <c r="M13" s="29">
        <f t="shared" si="4"/>
        <v>7070820.0855803462</v>
      </c>
      <c r="N13" s="29">
        <f>MIN(MAX(0,D13-H13),IF('1. Inputs'!$C$19=0,0,M13/'1. Inputs'!$C$19))</f>
        <v>0</v>
      </c>
      <c r="O13" s="29">
        <f>N13*'1. Inputs'!$C$19</f>
        <v>0</v>
      </c>
      <c r="P13" s="29">
        <f>N13*'1. Inputs'!$C$20</f>
        <v>0</v>
      </c>
      <c r="Q13" s="29">
        <f t="shared" si="5"/>
        <v>7070820.0855803462</v>
      </c>
      <c r="R13" s="29">
        <f t="shared" si="6"/>
        <v>0</v>
      </c>
      <c r="S13" s="29">
        <f>R13*'1. Inputs'!$C$22</f>
        <v>0</v>
      </c>
      <c r="T13" s="29">
        <f>R13*'1. Inputs'!$C$23</f>
        <v>0</v>
      </c>
      <c r="U13" s="29">
        <f>(H13+O13+S13)*'1. Inputs'!$C$12</f>
        <v>90000</v>
      </c>
      <c r="V13" s="29">
        <f>(H13+O13+S13)*'1. Inputs'!$C$11</f>
        <v>10000</v>
      </c>
      <c r="W13" s="29">
        <f t="shared" si="7"/>
        <v>0</v>
      </c>
      <c r="X13" s="29">
        <f t="shared" si="8"/>
        <v>10000</v>
      </c>
      <c r="Y13" s="7">
        <f t="shared" si="9"/>
        <v>0</v>
      </c>
      <c r="Z13" s="29">
        <f t="shared" si="12"/>
        <v>10000</v>
      </c>
      <c r="AA13" s="29">
        <f t="shared" si="13"/>
        <v>90000</v>
      </c>
    </row>
    <row r="14" spans="2:27" x14ac:dyDescent="0.3">
      <c r="B14" s="15">
        <f>'2. Monthly CF'!B14</f>
        <v>9</v>
      </c>
      <c r="C14" s="20">
        <f>'2. Monthly CF'!C14</f>
        <v>45351</v>
      </c>
      <c r="D14" s="28">
        <f>MAX(0,'2. Monthly CF'!D14)</f>
        <v>0</v>
      </c>
      <c r="E14" s="29">
        <f t="shared" si="10"/>
        <v>6685568.1375234323</v>
      </c>
      <c r="F14" s="29">
        <f>E14*((1+'1. Inputs'!$C$16)^((C14-C13)/365)-1)</f>
        <v>45933.124389797231</v>
      </c>
      <c r="G14" s="29">
        <f t="shared" si="0"/>
        <v>6731501.2619132297</v>
      </c>
      <c r="H14" s="29">
        <f t="shared" si="1"/>
        <v>0</v>
      </c>
      <c r="I14" s="29">
        <f t="shared" si="2"/>
        <v>6731501.2619132297</v>
      </c>
      <c r="J14" s="29">
        <f t="shared" si="11"/>
        <v>7070820.0855803462</v>
      </c>
      <c r="K14" s="29">
        <f>J14*((1+'1. Inputs'!$C$17)^((C14-C13)/365)-1)</f>
        <v>93598.6363065732</v>
      </c>
      <c r="L14" s="29">
        <f t="shared" si="3"/>
        <v>7164418.7218869198</v>
      </c>
      <c r="M14" s="29">
        <f t="shared" si="4"/>
        <v>7164418.7218869198</v>
      </c>
      <c r="N14" s="29">
        <f>MIN(MAX(0,D14-H14),IF('1. Inputs'!$C$19=0,0,M14/'1. Inputs'!$C$19))</f>
        <v>0</v>
      </c>
      <c r="O14" s="29">
        <f>N14*'1. Inputs'!$C$19</f>
        <v>0</v>
      </c>
      <c r="P14" s="29">
        <f>N14*'1. Inputs'!$C$20</f>
        <v>0</v>
      </c>
      <c r="Q14" s="29">
        <f t="shared" si="5"/>
        <v>7164418.7218869198</v>
      </c>
      <c r="R14" s="29">
        <f t="shared" si="6"/>
        <v>0</v>
      </c>
      <c r="S14" s="29">
        <f>R14*'1. Inputs'!$C$22</f>
        <v>0</v>
      </c>
      <c r="T14" s="29">
        <f>R14*'1. Inputs'!$C$23</f>
        <v>0</v>
      </c>
      <c r="U14" s="29">
        <f>(H14+O14+S14)*'1. Inputs'!$C$12</f>
        <v>0</v>
      </c>
      <c r="V14" s="29">
        <f>(H14+O14+S14)*'1. Inputs'!$C$11</f>
        <v>0</v>
      </c>
      <c r="W14" s="29">
        <f t="shared" si="7"/>
        <v>0</v>
      </c>
      <c r="X14" s="29">
        <f t="shared" si="8"/>
        <v>0</v>
      </c>
      <c r="Y14" s="7">
        <f t="shared" si="9"/>
        <v>0</v>
      </c>
      <c r="Z14" s="29">
        <f t="shared" si="12"/>
        <v>0</v>
      </c>
      <c r="AA14" s="29">
        <f t="shared" si="13"/>
        <v>0</v>
      </c>
    </row>
    <row r="15" spans="2:27" x14ac:dyDescent="0.3">
      <c r="B15" s="15">
        <f>'2. Monthly CF'!B15</f>
        <v>10</v>
      </c>
      <c r="C15" s="20">
        <f>'2. Monthly CF'!C15</f>
        <v>45382</v>
      </c>
      <c r="D15" s="28">
        <f>MAX(0,'2. Monthly CF'!D15)</f>
        <v>0</v>
      </c>
      <c r="E15" s="29">
        <f t="shared" si="10"/>
        <v>6731501.2619132297</v>
      </c>
      <c r="F15" s="29">
        <f>E15*((1+'1. Inputs'!$C$16)^((C15-C14)/365)-1)</f>
        <v>49449.961158645696</v>
      </c>
      <c r="G15" s="29">
        <f t="shared" si="0"/>
        <v>6780951.2230718751</v>
      </c>
      <c r="H15" s="29">
        <f t="shared" si="1"/>
        <v>0</v>
      </c>
      <c r="I15" s="29">
        <f t="shared" si="2"/>
        <v>6780951.2230718751</v>
      </c>
      <c r="J15" s="29">
        <f t="shared" si="11"/>
        <v>7164418.7218869198</v>
      </c>
      <c r="K15" s="29">
        <f>J15*((1+'1. Inputs'!$C$17)^((C15-C14)/365)-1)</f>
        <v>101424.24276432004</v>
      </c>
      <c r="L15" s="29">
        <f t="shared" si="3"/>
        <v>7265842.96465124</v>
      </c>
      <c r="M15" s="29">
        <f t="shared" si="4"/>
        <v>7265842.96465124</v>
      </c>
      <c r="N15" s="29">
        <f>MIN(MAX(0,D15-H15),IF('1. Inputs'!$C$19=0,0,M15/'1. Inputs'!$C$19))</f>
        <v>0</v>
      </c>
      <c r="O15" s="29">
        <f>N15*'1. Inputs'!$C$19</f>
        <v>0</v>
      </c>
      <c r="P15" s="29">
        <f>N15*'1. Inputs'!$C$20</f>
        <v>0</v>
      </c>
      <c r="Q15" s="29">
        <f t="shared" si="5"/>
        <v>7265842.96465124</v>
      </c>
      <c r="R15" s="29">
        <f t="shared" si="6"/>
        <v>0</v>
      </c>
      <c r="S15" s="29">
        <f>R15*'1. Inputs'!$C$22</f>
        <v>0</v>
      </c>
      <c r="T15" s="29">
        <f>R15*'1. Inputs'!$C$23</f>
        <v>0</v>
      </c>
      <c r="U15" s="29">
        <f>(H15+O15+S15)*'1. Inputs'!$C$12</f>
        <v>0</v>
      </c>
      <c r="V15" s="29">
        <f>(H15+O15+S15)*'1. Inputs'!$C$11</f>
        <v>0</v>
      </c>
      <c r="W15" s="29">
        <f t="shared" si="7"/>
        <v>0</v>
      </c>
      <c r="X15" s="29">
        <f t="shared" si="8"/>
        <v>0</v>
      </c>
      <c r="Y15" s="7">
        <f t="shared" si="9"/>
        <v>0</v>
      </c>
      <c r="Z15" s="29">
        <f t="shared" si="12"/>
        <v>0</v>
      </c>
      <c r="AA15" s="29">
        <f t="shared" si="13"/>
        <v>0</v>
      </c>
    </row>
    <row r="16" spans="2:27" x14ac:dyDescent="0.3">
      <c r="B16" s="15">
        <f>'2. Monthly CF'!B16</f>
        <v>11</v>
      </c>
      <c r="C16" s="20">
        <f>'2. Monthly CF'!C16</f>
        <v>45412</v>
      </c>
      <c r="D16" s="28">
        <f>MAX(0,'2. Monthly CF'!D16)</f>
        <v>0</v>
      </c>
      <c r="E16" s="29">
        <f t="shared" si="10"/>
        <v>6780951.2230718751</v>
      </c>
      <c r="F16" s="29">
        <f>E16*((1+'1. Inputs'!$C$16)^((C16-C15)/365)-1)</f>
        <v>48200.647667609555</v>
      </c>
      <c r="G16" s="29">
        <f t="shared" si="0"/>
        <v>6829151.8707394842</v>
      </c>
      <c r="H16" s="29">
        <f t="shared" si="1"/>
        <v>0</v>
      </c>
      <c r="I16" s="29">
        <f t="shared" si="2"/>
        <v>6829151.8707394842</v>
      </c>
      <c r="J16" s="29">
        <f t="shared" si="11"/>
        <v>7265842.96465124</v>
      </c>
      <c r="K16" s="29">
        <f>J16*((1+'1. Inputs'!$C$17)^((C16-C15)/365)-1)</f>
        <v>99519.385684939334</v>
      </c>
      <c r="L16" s="29">
        <f t="shared" si="3"/>
        <v>7365362.3503361791</v>
      </c>
      <c r="M16" s="29">
        <f t="shared" si="4"/>
        <v>7365362.3503361791</v>
      </c>
      <c r="N16" s="29">
        <f>MIN(MAX(0,D16-H16),IF('1. Inputs'!$C$19=0,0,M16/'1. Inputs'!$C$19))</f>
        <v>0</v>
      </c>
      <c r="O16" s="29">
        <f>N16*'1. Inputs'!$C$19</f>
        <v>0</v>
      </c>
      <c r="P16" s="29">
        <f>N16*'1. Inputs'!$C$20</f>
        <v>0</v>
      </c>
      <c r="Q16" s="29">
        <f t="shared" si="5"/>
        <v>7365362.3503361791</v>
      </c>
      <c r="R16" s="29">
        <f t="shared" si="6"/>
        <v>0</v>
      </c>
      <c r="S16" s="29">
        <f>R16*'1. Inputs'!$C$22</f>
        <v>0</v>
      </c>
      <c r="T16" s="29">
        <f>R16*'1. Inputs'!$C$23</f>
        <v>0</v>
      </c>
      <c r="U16" s="29">
        <f>(H16+O16+S16)*'1. Inputs'!$C$12</f>
        <v>0</v>
      </c>
      <c r="V16" s="29">
        <f>(H16+O16+S16)*'1. Inputs'!$C$11</f>
        <v>0</v>
      </c>
      <c r="W16" s="29">
        <f t="shared" si="7"/>
        <v>0</v>
      </c>
      <c r="X16" s="29">
        <f t="shared" si="8"/>
        <v>0</v>
      </c>
      <c r="Y16" s="7">
        <f t="shared" si="9"/>
        <v>0</v>
      </c>
      <c r="Z16" s="29">
        <f t="shared" si="12"/>
        <v>0</v>
      </c>
      <c r="AA16" s="29">
        <f t="shared" si="13"/>
        <v>0</v>
      </c>
    </row>
    <row r="17" spans="2:27" x14ac:dyDescent="0.3">
      <c r="B17" s="15">
        <f>'2. Monthly CF'!B17</f>
        <v>12</v>
      </c>
      <c r="C17" s="20">
        <f>'2. Monthly CF'!C17</f>
        <v>45443</v>
      </c>
      <c r="D17" s="28">
        <f>MAX(0,'2. Monthly CF'!D17)</f>
        <v>200000</v>
      </c>
      <c r="E17" s="29">
        <f t="shared" si="10"/>
        <v>6829151.8707394842</v>
      </c>
      <c r="F17" s="29">
        <f>E17*((1+'1. Inputs'!$C$16)^((C17-C16)/365)-1)</f>
        <v>50167.307650266783</v>
      </c>
      <c r="G17" s="29">
        <f t="shared" si="0"/>
        <v>6879319.1783897514</v>
      </c>
      <c r="H17" s="29">
        <f t="shared" si="1"/>
        <v>200000</v>
      </c>
      <c r="I17" s="29">
        <f t="shared" si="2"/>
        <v>6679319.1783897514</v>
      </c>
      <c r="J17" s="29">
        <f t="shared" si="11"/>
        <v>7365362.3503361791</v>
      </c>
      <c r="K17" s="29">
        <f>J17*((1+'1. Inputs'!$C$17)^((C17-C16)/365)-1)</f>
        <v>104268.93347056246</v>
      </c>
      <c r="L17" s="29">
        <f t="shared" si="3"/>
        <v>7469631.2838067412</v>
      </c>
      <c r="M17" s="29">
        <f t="shared" si="4"/>
        <v>7269631.2838067412</v>
      </c>
      <c r="N17" s="29">
        <f>MIN(MAX(0,D17-H17),IF('1. Inputs'!$C$19=0,0,M17/'1. Inputs'!$C$19))</f>
        <v>0</v>
      </c>
      <c r="O17" s="29">
        <f>N17*'1. Inputs'!$C$19</f>
        <v>0</v>
      </c>
      <c r="P17" s="29">
        <f>N17*'1. Inputs'!$C$20</f>
        <v>0</v>
      </c>
      <c r="Q17" s="29">
        <f t="shared" si="5"/>
        <v>7269631.2838067412</v>
      </c>
      <c r="R17" s="29">
        <f t="shared" si="6"/>
        <v>0</v>
      </c>
      <c r="S17" s="29">
        <f>R17*'1. Inputs'!$C$22</f>
        <v>0</v>
      </c>
      <c r="T17" s="29">
        <f>R17*'1. Inputs'!$C$23</f>
        <v>0</v>
      </c>
      <c r="U17" s="29">
        <f>(H17+O17+S17)*'1. Inputs'!$C$12</f>
        <v>180000</v>
      </c>
      <c r="V17" s="29">
        <f>(H17+O17+S17)*'1. Inputs'!$C$11</f>
        <v>20000</v>
      </c>
      <c r="W17" s="29">
        <f t="shared" si="7"/>
        <v>0</v>
      </c>
      <c r="X17" s="29">
        <f t="shared" si="8"/>
        <v>20000</v>
      </c>
      <c r="Y17" s="7">
        <f t="shared" si="9"/>
        <v>0</v>
      </c>
      <c r="Z17" s="29">
        <f t="shared" si="12"/>
        <v>20000</v>
      </c>
      <c r="AA17" s="29">
        <f t="shared" si="13"/>
        <v>180000</v>
      </c>
    </row>
    <row r="18" spans="2:27" x14ac:dyDescent="0.3">
      <c r="B18" s="15">
        <f>'2. Monthly CF'!B18</f>
        <v>13</v>
      </c>
      <c r="C18" s="20">
        <f>'2. Monthly CF'!C18</f>
        <v>45473</v>
      </c>
      <c r="D18" s="28">
        <f>MAX(0,'2. Monthly CF'!D18)</f>
        <v>0</v>
      </c>
      <c r="E18" s="29">
        <f t="shared" si="10"/>
        <v>6679319.1783897514</v>
      </c>
      <c r="F18" s="29">
        <f>E18*((1+'1. Inputs'!$C$16)^((C18-C17)/365)-1)</f>
        <v>47478.222418362209</v>
      </c>
      <c r="G18" s="29">
        <f t="shared" si="0"/>
        <v>6726797.4008081136</v>
      </c>
      <c r="H18" s="29">
        <f t="shared" si="1"/>
        <v>0</v>
      </c>
      <c r="I18" s="29">
        <f t="shared" si="2"/>
        <v>6726797.4008081136</v>
      </c>
      <c r="J18" s="29">
        <f t="shared" si="11"/>
        <v>7269631.2838067412</v>
      </c>
      <c r="K18" s="29">
        <f>J18*((1+'1. Inputs'!$C$17)^((C18-C17)/365)-1)</f>
        <v>99571.273841202579</v>
      </c>
      <c r="L18" s="29">
        <f t="shared" si="3"/>
        <v>7369202.5576479435</v>
      </c>
      <c r="M18" s="29">
        <f t="shared" si="4"/>
        <v>7369202.5576479435</v>
      </c>
      <c r="N18" s="29">
        <f>MIN(MAX(0,D18-H18),IF('1. Inputs'!$C$19=0,0,M18/'1. Inputs'!$C$19))</f>
        <v>0</v>
      </c>
      <c r="O18" s="29">
        <f>N18*'1. Inputs'!$C$19</f>
        <v>0</v>
      </c>
      <c r="P18" s="29">
        <f>N18*'1. Inputs'!$C$20</f>
        <v>0</v>
      </c>
      <c r="Q18" s="29">
        <f t="shared" si="5"/>
        <v>7369202.5576479435</v>
      </c>
      <c r="R18" s="29">
        <f t="shared" si="6"/>
        <v>0</v>
      </c>
      <c r="S18" s="29">
        <f>R18*'1. Inputs'!$C$22</f>
        <v>0</v>
      </c>
      <c r="T18" s="29">
        <f>R18*'1. Inputs'!$C$23</f>
        <v>0</v>
      </c>
      <c r="U18" s="29">
        <f>(H18+O18+S18)*'1. Inputs'!$C$12</f>
        <v>0</v>
      </c>
      <c r="V18" s="29">
        <f>(H18+O18+S18)*'1. Inputs'!$C$11</f>
        <v>0</v>
      </c>
      <c r="W18" s="29">
        <f t="shared" si="7"/>
        <v>0</v>
      </c>
      <c r="X18" s="29">
        <f t="shared" si="8"/>
        <v>0</v>
      </c>
      <c r="Y18" s="7">
        <f t="shared" si="9"/>
        <v>0</v>
      </c>
      <c r="Z18" s="29">
        <f t="shared" si="12"/>
        <v>0</v>
      </c>
      <c r="AA18" s="29">
        <f t="shared" si="13"/>
        <v>0</v>
      </c>
    </row>
    <row r="19" spans="2:27" x14ac:dyDescent="0.3">
      <c r="B19" s="15">
        <f>'2. Monthly CF'!B19</f>
        <v>14</v>
      </c>
      <c r="C19" s="20">
        <f>'2. Monthly CF'!C19</f>
        <v>45504</v>
      </c>
      <c r="D19" s="28">
        <f>MAX(0,'2. Monthly CF'!D19)</f>
        <v>225000</v>
      </c>
      <c r="E19" s="29">
        <f t="shared" si="10"/>
        <v>6726797.4008081136</v>
      </c>
      <c r="F19" s="29">
        <f>E19*((1+'1. Inputs'!$C$16)^((C19-C18)/365)-1)</f>
        <v>49415.40634837481</v>
      </c>
      <c r="G19" s="29">
        <f t="shared" si="0"/>
        <v>6776212.8071564883</v>
      </c>
      <c r="H19" s="29">
        <f t="shared" si="1"/>
        <v>225000</v>
      </c>
      <c r="I19" s="29">
        <f t="shared" si="2"/>
        <v>6551212.8071564883</v>
      </c>
      <c r="J19" s="29">
        <f t="shared" si="11"/>
        <v>7369202.5576479435</v>
      </c>
      <c r="K19" s="29">
        <f>J19*((1+'1. Inputs'!$C$17)^((C19-C18)/365)-1)</f>
        <v>104323.29798131667</v>
      </c>
      <c r="L19" s="29">
        <f t="shared" si="3"/>
        <v>7473525.8556292597</v>
      </c>
      <c r="M19" s="29">
        <f t="shared" si="4"/>
        <v>7248525.8556292597</v>
      </c>
      <c r="N19" s="29">
        <f>MIN(MAX(0,D19-H19),IF('1. Inputs'!$C$19=0,0,M19/'1. Inputs'!$C$19))</f>
        <v>0</v>
      </c>
      <c r="O19" s="29">
        <f>N19*'1. Inputs'!$C$19</f>
        <v>0</v>
      </c>
      <c r="P19" s="29">
        <f>N19*'1. Inputs'!$C$20</f>
        <v>0</v>
      </c>
      <c r="Q19" s="29">
        <f t="shared" si="5"/>
        <v>7248525.8556292597</v>
      </c>
      <c r="R19" s="29">
        <f t="shared" si="6"/>
        <v>0</v>
      </c>
      <c r="S19" s="29">
        <f>R19*'1. Inputs'!$C$22</f>
        <v>0</v>
      </c>
      <c r="T19" s="29">
        <f>R19*'1. Inputs'!$C$23</f>
        <v>0</v>
      </c>
      <c r="U19" s="29">
        <f>(H19+O19+S19)*'1. Inputs'!$C$12</f>
        <v>202500</v>
      </c>
      <c r="V19" s="29">
        <f>(H19+O19+S19)*'1. Inputs'!$C$11</f>
        <v>22500</v>
      </c>
      <c r="W19" s="29">
        <f t="shared" si="7"/>
        <v>0</v>
      </c>
      <c r="X19" s="29">
        <f t="shared" si="8"/>
        <v>22500</v>
      </c>
      <c r="Y19" s="7">
        <f t="shared" si="9"/>
        <v>0</v>
      </c>
      <c r="Z19" s="29">
        <f t="shared" si="12"/>
        <v>22500</v>
      </c>
      <c r="AA19" s="29">
        <f t="shared" si="13"/>
        <v>202500</v>
      </c>
    </row>
    <row r="20" spans="2:27" x14ac:dyDescent="0.3">
      <c r="B20" s="15">
        <f>'2. Monthly CF'!B20</f>
        <v>15</v>
      </c>
      <c r="C20" s="20">
        <f>'2. Monthly CF'!C20</f>
        <v>45535</v>
      </c>
      <c r="D20" s="28">
        <f>MAX(0,'2. Monthly CF'!D20)</f>
        <v>0</v>
      </c>
      <c r="E20" s="29">
        <f t="shared" si="10"/>
        <v>6551212.8071564883</v>
      </c>
      <c r="F20" s="29">
        <f>E20*((1+'1. Inputs'!$C$16)^((C20-C19)/365)-1)</f>
        <v>48125.552718656902</v>
      </c>
      <c r="G20" s="29">
        <f t="shared" si="0"/>
        <v>6599338.3598751454</v>
      </c>
      <c r="H20" s="29">
        <f t="shared" si="1"/>
        <v>0</v>
      </c>
      <c r="I20" s="29">
        <f t="shared" si="2"/>
        <v>6599338.3598751454</v>
      </c>
      <c r="J20" s="29">
        <f t="shared" si="11"/>
        <v>7248525.8556292597</v>
      </c>
      <c r="K20" s="29">
        <f>J20*((1+'1. Inputs'!$C$17)^((C20-C19)/365)-1)</f>
        <v>102614.91889340138</v>
      </c>
      <c r="L20" s="29">
        <f t="shared" si="3"/>
        <v>7351140.7745226612</v>
      </c>
      <c r="M20" s="29">
        <f t="shared" si="4"/>
        <v>7351140.7745226612</v>
      </c>
      <c r="N20" s="29">
        <f>MIN(MAX(0,D20-H20),IF('1. Inputs'!$C$19=0,0,M20/'1. Inputs'!$C$19))</f>
        <v>0</v>
      </c>
      <c r="O20" s="29">
        <f>N20*'1. Inputs'!$C$19</f>
        <v>0</v>
      </c>
      <c r="P20" s="29">
        <f>N20*'1. Inputs'!$C$20</f>
        <v>0</v>
      </c>
      <c r="Q20" s="29">
        <f t="shared" si="5"/>
        <v>7351140.7745226612</v>
      </c>
      <c r="R20" s="29">
        <f t="shared" si="6"/>
        <v>0</v>
      </c>
      <c r="S20" s="29">
        <f>R20*'1. Inputs'!$C$22</f>
        <v>0</v>
      </c>
      <c r="T20" s="29">
        <f>R20*'1. Inputs'!$C$23</f>
        <v>0</v>
      </c>
      <c r="U20" s="29">
        <f>(H20+O20+S20)*'1. Inputs'!$C$12</f>
        <v>0</v>
      </c>
      <c r="V20" s="29">
        <f>(H20+O20+S20)*'1. Inputs'!$C$11</f>
        <v>0</v>
      </c>
      <c r="W20" s="29">
        <f t="shared" si="7"/>
        <v>0</v>
      </c>
      <c r="X20" s="29">
        <f t="shared" si="8"/>
        <v>0</v>
      </c>
      <c r="Y20" s="7">
        <f t="shared" si="9"/>
        <v>0</v>
      </c>
      <c r="Z20" s="29">
        <f t="shared" si="12"/>
        <v>0</v>
      </c>
      <c r="AA20" s="29">
        <f t="shared" si="13"/>
        <v>0</v>
      </c>
    </row>
    <row r="21" spans="2:27" x14ac:dyDescent="0.3">
      <c r="B21" s="15">
        <f>'2. Monthly CF'!B21</f>
        <v>16</v>
      </c>
      <c r="C21" s="20">
        <f>'2. Monthly CF'!C21</f>
        <v>45565</v>
      </c>
      <c r="D21" s="28">
        <f>MAX(0,'2. Monthly CF'!D21)</f>
        <v>0</v>
      </c>
      <c r="E21" s="29">
        <f t="shared" si="10"/>
        <v>6599338.3598751454</v>
      </c>
      <c r="F21" s="29">
        <f>E21*((1+'1. Inputs'!$C$16)^((C21-C20)/365)-1)</f>
        <v>46909.699341500564</v>
      </c>
      <c r="G21" s="29">
        <f t="shared" si="0"/>
        <v>6646248.0592166455</v>
      </c>
      <c r="H21" s="29">
        <f t="shared" si="1"/>
        <v>0</v>
      </c>
      <c r="I21" s="29">
        <f t="shared" si="2"/>
        <v>6646248.0592166455</v>
      </c>
      <c r="J21" s="29">
        <f t="shared" si="11"/>
        <v>7351140.7745226612</v>
      </c>
      <c r="K21" s="29">
        <f>J21*((1+'1. Inputs'!$C$17)^((C21-C20)/365)-1)</f>
        <v>100687.69962730956</v>
      </c>
      <c r="L21" s="29">
        <f t="shared" si="3"/>
        <v>7451828.4741499703</v>
      </c>
      <c r="M21" s="29">
        <f t="shared" si="4"/>
        <v>7451828.4741499703</v>
      </c>
      <c r="N21" s="29">
        <f>MIN(MAX(0,D21-H21),IF('1. Inputs'!$C$19=0,0,M21/'1. Inputs'!$C$19))</f>
        <v>0</v>
      </c>
      <c r="O21" s="29">
        <f>N21*'1. Inputs'!$C$19</f>
        <v>0</v>
      </c>
      <c r="P21" s="29">
        <f>N21*'1. Inputs'!$C$20</f>
        <v>0</v>
      </c>
      <c r="Q21" s="29">
        <f t="shared" si="5"/>
        <v>7451828.4741499703</v>
      </c>
      <c r="R21" s="29">
        <f t="shared" si="6"/>
        <v>0</v>
      </c>
      <c r="S21" s="29">
        <f>R21*'1. Inputs'!$C$22</f>
        <v>0</v>
      </c>
      <c r="T21" s="29">
        <f>R21*'1. Inputs'!$C$23</f>
        <v>0</v>
      </c>
      <c r="U21" s="29">
        <f>(H21+O21+S21)*'1. Inputs'!$C$12</f>
        <v>0</v>
      </c>
      <c r="V21" s="29">
        <f>(H21+O21+S21)*'1. Inputs'!$C$11</f>
        <v>0</v>
      </c>
      <c r="W21" s="29">
        <f t="shared" si="7"/>
        <v>0</v>
      </c>
      <c r="X21" s="29">
        <f t="shared" si="8"/>
        <v>0</v>
      </c>
      <c r="Y21" s="7">
        <f t="shared" si="9"/>
        <v>0</v>
      </c>
      <c r="Z21" s="29">
        <f t="shared" si="12"/>
        <v>0</v>
      </c>
      <c r="AA21" s="29">
        <f t="shared" si="13"/>
        <v>0</v>
      </c>
    </row>
    <row r="22" spans="2:27" x14ac:dyDescent="0.3">
      <c r="B22" s="15">
        <f>'2. Monthly CF'!B22</f>
        <v>17</v>
      </c>
      <c r="C22" s="20">
        <f>'2. Monthly CF'!C22</f>
        <v>45596</v>
      </c>
      <c r="D22" s="28">
        <f>MAX(0,'2. Monthly CF'!D22)</f>
        <v>250000</v>
      </c>
      <c r="E22" s="29">
        <f t="shared" si="10"/>
        <v>6646248.0592166455</v>
      </c>
      <c r="F22" s="29">
        <f>E22*((1+'1. Inputs'!$C$16)^((C22-C21)/365)-1)</f>
        <v>48823.686662368171</v>
      </c>
      <c r="G22" s="29">
        <f t="shared" si="0"/>
        <v>6695071.745879014</v>
      </c>
      <c r="H22" s="29">
        <f t="shared" si="1"/>
        <v>250000</v>
      </c>
      <c r="I22" s="29">
        <f t="shared" si="2"/>
        <v>6445071.745879014</v>
      </c>
      <c r="J22" s="29">
        <f t="shared" si="11"/>
        <v>7451828.4741499703</v>
      </c>
      <c r="K22" s="29">
        <f>J22*((1+'1. Inputs'!$C$17)^((C22-C21)/365)-1)</f>
        <v>105493.00502095756</v>
      </c>
      <c r="L22" s="29">
        <f t="shared" si="3"/>
        <v>7557321.4791709278</v>
      </c>
      <c r="M22" s="29">
        <f t="shared" si="4"/>
        <v>7307321.4791709278</v>
      </c>
      <c r="N22" s="29">
        <f>MIN(MAX(0,D22-H22),IF('1. Inputs'!$C$19=0,0,M22/'1. Inputs'!$C$19))</f>
        <v>0</v>
      </c>
      <c r="O22" s="29">
        <f>N22*'1. Inputs'!$C$19</f>
        <v>0</v>
      </c>
      <c r="P22" s="29">
        <f>N22*'1. Inputs'!$C$20</f>
        <v>0</v>
      </c>
      <c r="Q22" s="29">
        <f t="shared" si="5"/>
        <v>7307321.4791709278</v>
      </c>
      <c r="R22" s="29">
        <f t="shared" si="6"/>
        <v>0</v>
      </c>
      <c r="S22" s="29">
        <f>R22*'1. Inputs'!$C$22</f>
        <v>0</v>
      </c>
      <c r="T22" s="29">
        <f>R22*'1. Inputs'!$C$23</f>
        <v>0</v>
      </c>
      <c r="U22" s="29">
        <f>(H22+O22+S22)*'1. Inputs'!$C$12</f>
        <v>225000</v>
      </c>
      <c r="V22" s="29">
        <f>(H22+O22+S22)*'1. Inputs'!$C$11</f>
        <v>25000</v>
      </c>
      <c r="W22" s="29">
        <f t="shared" si="7"/>
        <v>0</v>
      </c>
      <c r="X22" s="29">
        <f t="shared" si="8"/>
        <v>25000</v>
      </c>
      <c r="Y22" s="7">
        <f t="shared" si="9"/>
        <v>0</v>
      </c>
      <c r="Z22" s="29">
        <f t="shared" si="12"/>
        <v>25000</v>
      </c>
      <c r="AA22" s="29">
        <f t="shared" si="13"/>
        <v>225000</v>
      </c>
    </row>
    <row r="23" spans="2:27" x14ac:dyDescent="0.3">
      <c r="B23" s="15">
        <f>'2. Monthly CF'!B23</f>
        <v>18</v>
      </c>
      <c r="C23" s="20">
        <f>'2. Monthly CF'!C23</f>
        <v>45626</v>
      </c>
      <c r="D23" s="28">
        <f>MAX(0,'2. Monthly CF'!D23)</f>
        <v>0</v>
      </c>
      <c r="E23" s="29">
        <f t="shared" si="10"/>
        <v>6445071.745879014</v>
      </c>
      <c r="F23" s="29">
        <f>E23*((1+'1. Inputs'!$C$16)^((C23-C22)/365)-1)</f>
        <v>45813.13479421362</v>
      </c>
      <c r="G23" s="29">
        <f t="shared" si="0"/>
        <v>6490884.8806732278</v>
      </c>
      <c r="H23" s="29">
        <f t="shared" si="1"/>
        <v>0</v>
      </c>
      <c r="I23" s="29">
        <f t="shared" si="2"/>
        <v>6490884.8806732278</v>
      </c>
      <c r="J23" s="29">
        <f t="shared" si="11"/>
        <v>7307321.4791709278</v>
      </c>
      <c r="K23" s="29">
        <f>J23*((1+'1. Inputs'!$C$17)^((C23-C22)/365)-1)</f>
        <v>100087.51195799612</v>
      </c>
      <c r="L23" s="29">
        <f t="shared" si="3"/>
        <v>7407408.9911289243</v>
      </c>
      <c r="M23" s="29">
        <f t="shared" si="4"/>
        <v>7407408.9911289243</v>
      </c>
      <c r="N23" s="29">
        <f>MIN(MAX(0,D23-H23),IF('1. Inputs'!$C$19=0,0,M23/'1. Inputs'!$C$19))</f>
        <v>0</v>
      </c>
      <c r="O23" s="29">
        <f>N23*'1. Inputs'!$C$19</f>
        <v>0</v>
      </c>
      <c r="P23" s="29">
        <f>N23*'1. Inputs'!$C$20</f>
        <v>0</v>
      </c>
      <c r="Q23" s="29">
        <f t="shared" si="5"/>
        <v>7407408.9911289243</v>
      </c>
      <c r="R23" s="29">
        <f t="shared" si="6"/>
        <v>0</v>
      </c>
      <c r="S23" s="29">
        <f>R23*'1. Inputs'!$C$22</f>
        <v>0</v>
      </c>
      <c r="T23" s="29">
        <f>R23*'1. Inputs'!$C$23</f>
        <v>0</v>
      </c>
      <c r="U23" s="29">
        <f>(H23+O23+S23)*'1. Inputs'!$C$12</f>
        <v>0</v>
      </c>
      <c r="V23" s="29">
        <f>(H23+O23+S23)*'1. Inputs'!$C$11</f>
        <v>0</v>
      </c>
      <c r="W23" s="29">
        <f t="shared" si="7"/>
        <v>0</v>
      </c>
      <c r="X23" s="29">
        <f t="shared" si="8"/>
        <v>0</v>
      </c>
      <c r="Y23" s="7">
        <f t="shared" si="9"/>
        <v>0</v>
      </c>
      <c r="Z23" s="29">
        <f t="shared" si="12"/>
        <v>0</v>
      </c>
      <c r="AA23" s="29">
        <f t="shared" si="13"/>
        <v>0</v>
      </c>
    </row>
    <row r="24" spans="2:27" x14ac:dyDescent="0.3">
      <c r="B24" s="15">
        <f>'2. Monthly CF'!B24</f>
        <v>19</v>
      </c>
      <c r="C24" s="20">
        <f>'2. Monthly CF'!C24</f>
        <v>45657</v>
      </c>
      <c r="D24" s="28">
        <f>MAX(0,'2. Monthly CF'!D24)</f>
        <v>0</v>
      </c>
      <c r="E24" s="29">
        <f t="shared" si="10"/>
        <v>6490884.8806732278</v>
      </c>
      <c r="F24" s="29">
        <f>E24*((1+'1. Inputs'!$C$16)^((C24-C23)/365)-1)</f>
        <v>47682.380608111831</v>
      </c>
      <c r="G24" s="29">
        <f t="shared" si="0"/>
        <v>6538567.2612813395</v>
      </c>
      <c r="H24" s="29">
        <f t="shared" si="1"/>
        <v>0</v>
      </c>
      <c r="I24" s="29">
        <f t="shared" si="2"/>
        <v>6538567.2612813395</v>
      </c>
      <c r="J24" s="29">
        <f t="shared" si="11"/>
        <v>7407408.9911289243</v>
      </c>
      <c r="K24" s="29">
        <f>J24*((1+'1. Inputs'!$C$17)^((C24-C23)/365)-1)</f>
        <v>104864.17348496302</v>
      </c>
      <c r="L24" s="29">
        <f t="shared" si="3"/>
        <v>7512273.1646138877</v>
      </c>
      <c r="M24" s="29">
        <f t="shared" si="4"/>
        <v>7512273.1646138877</v>
      </c>
      <c r="N24" s="29">
        <f>MIN(MAX(0,D24-H24),IF('1. Inputs'!$C$19=0,0,M24/'1. Inputs'!$C$19))</f>
        <v>0</v>
      </c>
      <c r="O24" s="29">
        <f>N24*'1. Inputs'!$C$19</f>
        <v>0</v>
      </c>
      <c r="P24" s="29">
        <f>N24*'1. Inputs'!$C$20</f>
        <v>0</v>
      </c>
      <c r="Q24" s="29">
        <f t="shared" si="5"/>
        <v>7512273.1646138877</v>
      </c>
      <c r="R24" s="29">
        <f t="shared" si="6"/>
        <v>0</v>
      </c>
      <c r="S24" s="29">
        <f>R24*'1. Inputs'!$C$22</f>
        <v>0</v>
      </c>
      <c r="T24" s="29">
        <f>R24*'1. Inputs'!$C$23</f>
        <v>0</v>
      </c>
      <c r="U24" s="29">
        <f>(H24+O24+S24)*'1. Inputs'!$C$12</f>
        <v>0</v>
      </c>
      <c r="V24" s="29">
        <f>(H24+O24+S24)*'1. Inputs'!$C$11</f>
        <v>0</v>
      </c>
      <c r="W24" s="29">
        <f t="shared" si="7"/>
        <v>0</v>
      </c>
      <c r="X24" s="29">
        <f t="shared" si="8"/>
        <v>0</v>
      </c>
      <c r="Y24" s="7">
        <f t="shared" si="9"/>
        <v>0</v>
      </c>
      <c r="Z24" s="29">
        <f t="shared" si="12"/>
        <v>0</v>
      </c>
      <c r="AA24" s="29">
        <f t="shared" si="13"/>
        <v>0</v>
      </c>
    </row>
    <row r="25" spans="2:27" x14ac:dyDescent="0.3">
      <c r="B25" s="15">
        <f>'2. Monthly CF'!B25</f>
        <v>20</v>
      </c>
      <c r="C25" s="20">
        <f>'2. Monthly CF'!C25</f>
        <v>45688</v>
      </c>
      <c r="D25" s="28">
        <f>MAX(0,'2. Monthly CF'!D25)</f>
        <v>250000</v>
      </c>
      <c r="E25" s="29">
        <f t="shared" si="10"/>
        <v>6538567.2612813395</v>
      </c>
      <c r="F25" s="29">
        <f>E25*((1+'1. Inputs'!$C$16)^((C25-C24)/365)-1)</f>
        <v>48032.657875734702</v>
      </c>
      <c r="G25" s="29">
        <f t="shared" si="0"/>
        <v>6586599.9191570738</v>
      </c>
      <c r="H25" s="29">
        <f t="shared" si="1"/>
        <v>250000</v>
      </c>
      <c r="I25" s="29">
        <f t="shared" si="2"/>
        <v>6336599.9191570738</v>
      </c>
      <c r="J25" s="29">
        <f t="shared" si="11"/>
        <v>7512273.1646138877</v>
      </c>
      <c r="K25" s="29">
        <f>J25*((1+'1. Inputs'!$C$17)^((C25-C24)/365)-1)</f>
        <v>106348.69997646008</v>
      </c>
      <c r="L25" s="29">
        <f t="shared" si="3"/>
        <v>7618621.8645903477</v>
      </c>
      <c r="M25" s="29">
        <f t="shared" si="4"/>
        <v>7368621.8645903477</v>
      </c>
      <c r="N25" s="29">
        <f>MIN(MAX(0,D25-H25),IF('1. Inputs'!$C$19=0,0,M25/'1. Inputs'!$C$19))</f>
        <v>0</v>
      </c>
      <c r="O25" s="29">
        <f>N25*'1. Inputs'!$C$19</f>
        <v>0</v>
      </c>
      <c r="P25" s="29">
        <f>N25*'1. Inputs'!$C$20</f>
        <v>0</v>
      </c>
      <c r="Q25" s="29">
        <f t="shared" si="5"/>
        <v>7368621.8645903477</v>
      </c>
      <c r="R25" s="29">
        <f t="shared" si="6"/>
        <v>0</v>
      </c>
      <c r="S25" s="29">
        <f>R25*'1. Inputs'!$C$22</f>
        <v>0</v>
      </c>
      <c r="T25" s="29">
        <f>R25*'1. Inputs'!$C$23</f>
        <v>0</v>
      </c>
      <c r="U25" s="29">
        <f>(H25+O25+S25)*'1. Inputs'!$C$12</f>
        <v>225000</v>
      </c>
      <c r="V25" s="29">
        <f>(H25+O25+S25)*'1. Inputs'!$C$11</f>
        <v>25000</v>
      </c>
      <c r="W25" s="29">
        <f t="shared" si="7"/>
        <v>0</v>
      </c>
      <c r="X25" s="29">
        <f t="shared" si="8"/>
        <v>25000</v>
      </c>
      <c r="Y25" s="7">
        <f t="shared" si="9"/>
        <v>0</v>
      </c>
      <c r="Z25" s="29">
        <f t="shared" si="12"/>
        <v>25000</v>
      </c>
      <c r="AA25" s="29">
        <f t="shared" si="13"/>
        <v>225000</v>
      </c>
    </row>
    <row r="26" spans="2:27" x14ac:dyDescent="0.3">
      <c r="B26" s="15">
        <f>'2. Monthly CF'!B26</f>
        <v>21</v>
      </c>
      <c r="C26" s="20">
        <f>'2. Monthly CF'!C26</f>
        <v>45716</v>
      </c>
      <c r="D26" s="28">
        <f>MAX(0,'2. Monthly CF'!D26)</f>
        <v>0</v>
      </c>
      <c r="E26" s="29">
        <f t="shared" si="10"/>
        <v>6336599.9191570738</v>
      </c>
      <c r="F26" s="29">
        <f>E26*((1+'1. Inputs'!$C$16)^((C26-C25)/365)-1)</f>
        <v>42029.348900666053</v>
      </c>
      <c r="G26" s="29">
        <f t="shared" si="0"/>
        <v>6378629.2680577403</v>
      </c>
      <c r="H26" s="29">
        <f t="shared" si="1"/>
        <v>0</v>
      </c>
      <c r="I26" s="29">
        <f t="shared" si="2"/>
        <v>6378629.2680577403</v>
      </c>
      <c r="J26" s="29">
        <f t="shared" si="11"/>
        <v>7368621.8645903477</v>
      </c>
      <c r="K26" s="29">
        <f>J26*((1+'1. Inputs'!$C$17)^((C26-C25)/365)-1)</f>
        <v>94155.860683009916</v>
      </c>
      <c r="L26" s="29">
        <f t="shared" si="3"/>
        <v>7462777.7252733577</v>
      </c>
      <c r="M26" s="29">
        <f t="shared" si="4"/>
        <v>7462777.7252733577</v>
      </c>
      <c r="N26" s="29">
        <f>MIN(MAX(0,D26-H26),IF('1. Inputs'!$C$19=0,0,M26/'1. Inputs'!$C$19))</f>
        <v>0</v>
      </c>
      <c r="O26" s="29">
        <f>N26*'1. Inputs'!$C$19</f>
        <v>0</v>
      </c>
      <c r="P26" s="29">
        <f>N26*'1. Inputs'!$C$20</f>
        <v>0</v>
      </c>
      <c r="Q26" s="29">
        <f t="shared" si="5"/>
        <v>7462777.7252733577</v>
      </c>
      <c r="R26" s="29">
        <f t="shared" si="6"/>
        <v>0</v>
      </c>
      <c r="S26" s="29">
        <f>R26*'1. Inputs'!$C$22</f>
        <v>0</v>
      </c>
      <c r="T26" s="29">
        <f>R26*'1. Inputs'!$C$23</f>
        <v>0</v>
      </c>
      <c r="U26" s="29">
        <f>(H26+O26+S26)*'1. Inputs'!$C$12</f>
        <v>0</v>
      </c>
      <c r="V26" s="29">
        <f>(H26+O26+S26)*'1. Inputs'!$C$11</f>
        <v>0</v>
      </c>
      <c r="W26" s="29">
        <f t="shared" si="7"/>
        <v>0</v>
      </c>
      <c r="X26" s="29">
        <f t="shared" si="8"/>
        <v>0</v>
      </c>
      <c r="Y26" s="7">
        <f t="shared" si="9"/>
        <v>0</v>
      </c>
      <c r="Z26" s="29">
        <f t="shared" si="12"/>
        <v>0</v>
      </c>
      <c r="AA26" s="29">
        <f t="shared" si="13"/>
        <v>0</v>
      </c>
    </row>
    <row r="27" spans="2:27" x14ac:dyDescent="0.3">
      <c r="B27" s="15">
        <f>'2. Monthly CF'!B27</f>
        <v>22</v>
      </c>
      <c r="C27" s="20">
        <f>'2. Monthly CF'!C27</f>
        <v>45747</v>
      </c>
      <c r="D27" s="28">
        <f>MAX(0,'2. Monthly CF'!D27)</f>
        <v>0</v>
      </c>
      <c r="E27" s="29">
        <f t="shared" si="10"/>
        <v>6378629.2680577403</v>
      </c>
      <c r="F27" s="29">
        <f>E27*((1+'1. Inputs'!$C$16)^((C27-C26)/365)-1)</f>
        <v>46857.744993010114</v>
      </c>
      <c r="G27" s="29">
        <f t="shared" si="0"/>
        <v>6425487.0130507508</v>
      </c>
      <c r="H27" s="29">
        <f t="shared" si="1"/>
        <v>0</v>
      </c>
      <c r="I27" s="29">
        <f t="shared" si="2"/>
        <v>6425487.0130507508</v>
      </c>
      <c r="J27" s="29">
        <f t="shared" si="11"/>
        <v>7462777.7252733577</v>
      </c>
      <c r="K27" s="29">
        <f>J27*((1+'1. Inputs'!$C$17)^((C27-C26)/365)-1)</f>
        <v>105648.00985067715</v>
      </c>
      <c r="L27" s="29">
        <f t="shared" si="3"/>
        <v>7568425.7351240348</v>
      </c>
      <c r="M27" s="29">
        <f t="shared" si="4"/>
        <v>7568425.7351240348</v>
      </c>
      <c r="N27" s="29">
        <f>MIN(MAX(0,D27-H27),IF('1. Inputs'!$C$19=0,0,M27/'1. Inputs'!$C$19))</f>
        <v>0</v>
      </c>
      <c r="O27" s="29">
        <f>N27*'1. Inputs'!$C$19</f>
        <v>0</v>
      </c>
      <c r="P27" s="29">
        <f>N27*'1. Inputs'!$C$20</f>
        <v>0</v>
      </c>
      <c r="Q27" s="29">
        <f t="shared" si="5"/>
        <v>7568425.7351240348</v>
      </c>
      <c r="R27" s="29">
        <f t="shared" si="6"/>
        <v>0</v>
      </c>
      <c r="S27" s="29">
        <f>R27*'1. Inputs'!$C$22</f>
        <v>0</v>
      </c>
      <c r="T27" s="29">
        <f>R27*'1. Inputs'!$C$23</f>
        <v>0</v>
      </c>
      <c r="U27" s="29">
        <f>(H27+O27+S27)*'1. Inputs'!$C$12</f>
        <v>0</v>
      </c>
      <c r="V27" s="29">
        <f>(H27+O27+S27)*'1. Inputs'!$C$11</f>
        <v>0</v>
      </c>
      <c r="W27" s="29">
        <f t="shared" si="7"/>
        <v>0</v>
      </c>
      <c r="X27" s="29">
        <f t="shared" si="8"/>
        <v>0</v>
      </c>
      <c r="Y27" s="7">
        <f t="shared" si="9"/>
        <v>0</v>
      </c>
      <c r="Z27" s="29">
        <f t="shared" si="12"/>
        <v>0</v>
      </c>
      <c r="AA27" s="29">
        <f t="shared" si="13"/>
        <v>0</v>
      </c>
    </row>
    <row r="28" spans="2:27" x14ac:dyDescent="0.3">
      <c r="B28" s="15">
        <f>'2. Monthly CF'!B28</f>
        <v>23</v>
      </c>
      <c r="C28" s="20">
        <f>'2. Monthly CF'!C28</f>
        <v>45777</v>
      </c>
      <c r="D28" s="28">
        <f>MAX(0,'2. Monthly CF'!D28)</f>
        <v>350000</v>
      </c>
      <c r="E28" s="29">
        <f t="shared" si="10"/>
        <v>6425487.0130507508</v>
      </c>
      <c r="F28" s="29">
        <f>E28*((1+'1. Inputs'!$C$16)^((C28-C27)/365)-1)</f>
        <v>45673.921758215445</v>
      </c>
      <c r="G28" s="29">
        <f t="shared" si="0"/>
        <v>6471160.9348089667</v>
      </c>
      <c r="H28" s="29">
        <f t="shared" si="1"/>
        <v>350000</v>
      </c>
      <c r="I28" s="29">
        <f t="shared" si="2"/>
        <v>6121160.9348089667</v>
      </c>
      <c r="J28" s="29">
        <f t="shared" si="11"/>
        <v>7568425.7351240348</v>
      </c>
      <c r="K28" s="29">
        <f>J28*((1+'1. Inputs'!$C$17)^((C28-C27)/365)-1)</f>
        <v>103663.82585283181</v>
      </c>
      <c r="L28" s="29">
        <f t="shared" si="3"/>
        <v>7672089.5609768666</v>
      </c>
      <c r="M28" s="29">
        <f t="shared" si="4"/>
        <v>7322089.5609768666</v>
      </c>
      <c r="N28" s="29">
        <f>MIN(MAX(0,D28-H28),IF('1. Inputs'!$C$19=0,0,M28/'1. Inputs'!$C$19))</f>
        <v>0</v>
      </c>
      <c r="O28" s="29">
        <f>N28*'1. Inputs'!$C$19</f>
        <v>0</v>
      </c>
      <c r="P28" s="29">
        <f>N28*'1. Inputs'!$C$20</f>
        <v>0</v>
      </c>
      <c r="Q28" s="29">
        <f t="shared" si="5"/>
        <v>7322089.5609768666</v>
      </c>
      <c r="R28" s="29">
        <f t="shared" si="6"/>
        <v>0</v>
      </c>
      <c r="S28" s="29">
        <f>R28*'1. Inputs'!$C$22</f>
        <v>0</v>
      </c>
      <c r="T28" s="29">
        <f>R28*'1. Inputs'!$C$23</f>
        <v>0</v>
      </c>
      <c r="U28" s="29">
        <f>(H28+O28+S28)*'1. Inputs'!$C$12</f>
        <v>315000</v>
      </c>
      <c r="V28" s="29">
        <f>(H28+O28+S28)*'1. Inputs'!$C$11</f>
        <v>35000</v>
      </c>
      <c r="W28" s="29">
        <f t="shared" si="7"/>
        <v>0</v>
      </c>
      <c r="X28" s="29">
        <f t="shared" si="8"/>
        <v>35000</v>
      </c>
      <c r="Y28" s="7">
        <f t="shared" si="9"/>
        <v>0</v>
      </c>
      <c r="Z28" s="29">
        <f t="shared" si="12"/>
        <v>35000</v>
      </c>
      <c r="AA28" s="29">
        <f t="shared" si="13"/>
        <v>315000</v>
      </c>
    </row>
    <row r="29" spans="2:27" x14ac:dyDescent="0.3">
      <c r="B29" s="15">
        <f>'2. Monthly CF'!B29</f>
        <v>24</v>
      </c>
      <c r="C29" s="20">
        <f>'2. Monthly CF'!C29</f>
        <v>45808</v>
      </c>
      <c r="D29" s="28">
        <f>MAX(0,'2. Monthly CF'!D29)</f>
        <v>0</v>
      </c>
      <c r="E29" s="29">
        <f t="shared" si="10"/>
        <v>6121160.9348089667</v>
      </c>
      <c r="F29" s="29">
        <f>E29*((1+'1. Inputs'!$C$16)^((C29-C28)/365)-1)</f>
        <v>44966.369119582072</v>
      </c>
      <c r="G29" s="29">
        <f t="shared" si="0"/>
        <v>6166127.3039285485</v>
      </c>
      <c r="H29" s="29">
        <f t="shared" si="1"/>
        <v>0</v>
      </c>
      <c r="I29" s="29">
        <f t="shared" si="2"/>
        <v>6166127.3039285485</v>
      </c>
      <c r="J29" s="29">
        <f t="shared" si="11"/>
        <v>7322089.5609768666</v>
      </c>
      <c r="K29" s="29">
        <f>J29*((1+'1. Inputs'!$C$17)^((C29-C28)/365)-1)</f>
        <v>103656.33528731274</v>
      </c>
      <c r="L29" s="29">
        <f t="shared" si="3"/>
        <v>7425745.8962641796</v>
      </c>
      <c r="M29" s="29">
        <f t="shared" si="4"/>
        <v>7425745.8962641796</v>
      </c>
      <c r="N29" s="29">
        <f>MIN(MAX(0,D29-H29),IF('1. Inputs'!$C$19=0,0,M29/'1. Inputs'!$C$19))</f>
        <v>0</v>
      </c>
      <c r="O29" s="29">
        <f>N29*'1. Inputs'!$C$19</f>
        <v>0</v>
      </c>
      <c r="P29" s="29">
        <f>N29*'1. Inputs'!$C$20</f>
        <v>0</v>
      </c>
      <c r="Q29" s="29">
        <f t="shared" si="5"/>
        <v>7425745.8962641796</v>
      </c>
      <c r="R29" s="29">
        <f t="shared" si="6"/>
        <v>0</v>
      </c>
      <c r="S29" s="29">
        <f>R29*'1. Inputs'!$C$22</f>
        <v>0</v>
      </c>
      <c r="T29" s="29">
        <f>R29*'1. Inputs'!$C$23</f>
        <v>0</v>
      </c>
      <c r="U29" s="29">
        <f>(H29+O29+S29)*'1. Inputs'!$C$12</f>
        <v>0</v>
      </c>
      <c r="V29" s="29">
        <f>(H29+O29+S29)*'1. Inputs'!$C$11</f>
        <v>0</v>
      </c>
      <c r="W29" s="29">
        <f t="shared" si="7"/>
        <v>0</v>
      </c>
      <c r="X29" s="29">
        <f t="shared" si="8"/>
        <v>0</v>
      </c>
      <c r="Y29" s="7">
        <f t="shared" si="9"/>
        <v>0</v>
      </c>
      <c r="Z29" s="29">
        <f t="shared" si="12"/>
        <v>0</v>
      </c>
      <c r="AA29" s="29">
        <f t="shared" si="13"/>
        <v>0</v>
      </c>
    </row>
    <row r="30" spans="2:27" x14ac:dyDescent="0.3">
      <c r="B30" s="15">
        <f>'2. Monthly CF'!B30</f>
        <v>25</v>
      </c>
      <c r="C30" s="20">
        <f>'2. Monthly CF'!C30</f>
        <v>45838</v>
      </c>
      <c r="D30" s="28">
        <f>MAX(0,'2. Monthly CF'!D30)</f>
        <v>0</v>
      </c>
      <c r="E30" s="29">
        <f t="shared" si="10"/>
        <v>6166127.3039285485</v>
      </c>
      <c r="F30" s="29">
        <f>E30*((1+'1. Inputs'!$C$16)^((C30-C29)/365)-1)</f>
        <v>43830.329974803433</v>
      </c>
      <c r="G30" s="29">
        <f t="shared" si="0"/>
        <v>6209957.6339033516</v>
      </c>
      <c r="H30" s="29">
        <f t="shared" si="1"/>
        <v>0</v>
      </c>
      <c r="I30" s="29">
        <f t="shared" si="2"/>
        <v>6209957.6339033516</v>
      </c>
      <c r="J30" s="29">
        <f t="shared" si="11"/>
        <v>7425745.8962641796</v>
      </c>
      <c r="K30" s="29">
        <f>J30*((1+'1. Inputs'!$C$17)^((C30-C29)/365)-1)</f>
        <v>101709.5570939225</v>
      </c>
      <c r="L30" s="29">
        <f t="shared" si="3"/>
        <v>7527455.4533581017</v>
      </c>
      <c r="M30" s="29">
        <f t="shared" si="4"/>
        <v>7527455.4533581017</v>
      </c>
      <c r="N30" s="29">
        <f>MIN(MAX(0,D30-H30),IF('1. Inputs'!$C$19=0,0,M30/'1. Inputs'!$C$19))</f>
        <v>0</v>
      </c>
      <c r="O30" s="29">
        <f>N30*'1. Inputs'!$C$19</f>
        <v>0</v>
      </c>
      <c r="P30" s="29">
        <f>N30*'1. Inputs'!$C$20</f>
        <v>0</v>
      </c>
      <c r="Q30" s="29">
        <f t="shared" si="5"/>
        <v>7527455.4533581017</v>
      </c>
      <c r="R30" s="29">
        <f t="shared" si="6"/>
        <v>0</v>
      </c>
      <c r="S30" s="29">
        <f>R30*'1. Inputs'!$C$22</f>
        <v>0</v>
      </c>
      <c r="T30" s="29">
        <f>R30*'1. Inputs'!$C$23</f>
        <v>0</v>
      </c>
      <c r="U30" s="29">
        <f>(H30+O30+S30)*'1. Inputs'!$C$12</f>
        <v>0</v>
      </c>
      <c r="V30" s="29">
        <f>(H30+O30+S30)*'1. Inputs'!$C$11</f>
        <v>0</v>
      </c>
      <c r="W30" s="29">
        <f t="shared" si="7"/>
        <v>0</v>
      </c>
      <c r="X30" s="29">
        <f t="shared" si="8"/>
        <v>0</v>
      </c>
      <c r="Y30" s="7">
        <f t="shared" si="9"/>
        <v>0</v>
      </c>
      <c r="Z30" s="29">
        <f t="shared" si="12"/>
        <v>0</v>
      </c>
      <c r="AA30" s="29">
        <f t="shared" si="13"/>
        <v>0</v>
      </c>
    </row>
    <row r="31" spans="2:27" x14ac:dyDescent="0.3">
      <c r="B31" s="15">
        <f>'2. Monthly CF'!B31</f>
        <v>26</v>
      </c>
      <c r="C31" s="20">
        <f>'2. Monthly CF'!C31</f>
        <v>45869</v>
      </c>
      <c r="D31" s="28">
        <f>MAX(0,'2. Monthly CF'!D31)</f>
        <v>300000</v>
      </c>
      <c r="E31" s="29">
        <f t="shared" si="10"/>
        <v>6209957.6339033516</v>
      </c>
      <c r="F31" s="29">
        <f>E31*((1+'1. Inputs'!$C$16)^((C31-C30)/365)-1)</f>
        <v>45618.674326160202</v>
      </c>
      <c r="G31" s="29">
        <f t="shared" si="0"/>
        <v>6255576.3082295116</v>
      </c>
      <c r="H31" s="29">
        <f t="shared" si="1"/>
        <v>300000</v>
      </c>
      <c r="I31" s="29">
        <f t="shared" si="2"/>
        <v>5955576.3082295116</v>
      </c>
      <c r="J31" s="29">
        <f t="shared" si="11"/>
        <v>7527455.4533581017</v>
      </c>
      <c r="K31" s="29">
        <f>J31*((1+'1. Inputs'!$C$17)^((C31-C30)/365)-1)</f>
        <v>106563.63048221165</v>
      </c>
      <c r="L31" s="29">
        <f t="shared" si="3"/>
        <v>7634019.0838403134</v>
      </c>
      <c r="M31" s="29">
        <f t="shared" si="4"/>
        <v>7334019.0838403134</v>
      </c>
      <c r="N31" s="29">
        <f>MIN(MAX(0,D31-H31),IF('1. Inputs'!$C$19=0,0,M31/'1. Inputs'!$C$19))</f>
        <v>0</v>
      </c>
      <c r="O31" s="29">
        <f>N31*'1. Inputs'!$C$19</f>
        <v>0</v>
      </c>
      <c r="P31" s="29">
        <f>N31*'1. Inputs'!$C$20</f>
        <v>0</v>
      </c>
      <c r="Q31" s="29">
        <f t="shared" si="5"/>
        <v>7334019.0838403134</v>
      </c>
      <c r="R31" s="29">
        <f t="shared" si="6"/>
        <v>0</v>
      </c>
      <c r="S31" s="29">
        <f>R31*'1. Inputs'!$C$22</f>
        <v>0</v>
      </c>
      <c r="T31" s="29">
        <f>R31*'1. Inputs'!$C$23</f>
        <v>0</v>
      </c>
      <c r="U31" s="29">
        <f>(H31+O31+S31)*'1. Inputs'!$C$12</f>
        <v>270000</v>
      </c>
      <c r="V31" s="29">
        <f>(H31+O31+S31)*'1. Inputs'!$C$11</f>
        <v>30000</v>
      </c>
      <c r="W31" s="29">
        <f t="shared" si="7"/>
        <v>0</v>
      </c>
      <c r="X31" s="29">
        <f t="shared" si="8"/>
        <v>30000</v>
      </c>
      <c r="Y31" s="7">
        <f t="shared" si="9"/>
        <v>0</v>
      </c>
      <c r="Z31" s="29">
        <f t="shared" si="12"/>
        <v>30000</v>
      </c>
      <c r="AA31" s="29">
        <f t="shared" si="13"/>
        <v>270000</v>
      </c>
    </row>
    <row r="32" spans="2:27" x14ac:dyDescent="0.3">
      <c r="B32" s="15">
        <f>'2. Monthly CF'!B32</f>
        <v>27</v>
      </c>
      <c r="C32" s="20">
        <f>'2. Monthly CF'!C32</f>
        <v>45900</v>
      </c>
      <c r="D32" s="28">
        <f>MAX(0,'2. Monthly CF'!D32)</f>
        <v>0</v>
      </c>
      <c r="E32" s="29">
        <f t="shared" si="10"/>
        <v>5955576.3082295116</v>
      </c>
      <c r="F32" s="29">
        <f>E32*((1+'1. Inputs'!$C$16)^((C32-C31)/365)-1)</f>
        <v>43749.975772209262</v>
      </c>
      <c r="G32" s="29">
        <f t="shared" si="0"/>
        <v>5999326.2840017211</v>
      </c>
      <c r="H32" s="29">
        <f t="shared" si="1"/>
        <v>0</v>
      </c>
      <c r="I32" s="29">
        <f t="shared" si="2"/>
        <v>5999326.2840017211</v>
      </c>
      <c r="J32" s="29">
        <f t="shared" si="11"/>
        <v>7334019.0838403134</v>
      </c>
      <c r="K32" s="29">
        <f>J32*((1+'1. Inputs'!$C$17)^((C32-C31)/365)-1)</f>
        <v>103825.21749114995</v>
      </c>
      <c r="L32" s="29">
        <f t="shared" si="3"/>
        <v>7437844.3013314633</v>
      </c>
      <c r="M32" s="29">
        <f t="shared" si="4"/>
        <v>7437844.3013314633</v>
      </c>
      <c r="N32" s="29">
        <f>MIN(MAX(0,D32-H32),IF('1. Inputs'!$C$19=0,0,M32/'1. Inputs'!$C$19))</f>
        <v>0</v>
      </c>
      <c r="O32" s="29">
        <f>N32*'1. Inputs'!$C$19</f>
        <v>0</v>
      </c>
      <c r="P32" s="29">
        <f>N32*'1. Inputs'!$C$20</f>
        <v>0</v>
      </c>
      <c r="Q32" s="29">
        <f t="shared" si="5"/>
        <v>7437844.3013314633</v>
      </c>
      <c r="R32" s="29">
        <f t="shared" si="6"/>
        <v>0</v>
      </c>
      <c r="S32" s="29">
        <f>R32*'1. Inputs'!$C$22</f>
        <v>0</v>
      </c>
      <c r="T32" s="29">
        <f>R32*'1. Inputs'!$C$23</f>
        <v>0</v>
      </c>
      <c r="U32" s="29">
        <f>(H32+O32+S32)*'1. Inputs'!$C$12</f>
        <v>0</v>
      </c>
      <c r="V32" s="29">
        <f>(H32+O32+S32)*'1. Inputs'!$C$11</f>
        <v>0</v>
      </c>
      <c r="W32" s="29">
        <f t="shared" si="7"/>
        <v>0</v>
      </c>
      <c r="X32" s="29">
        <f t="shared" si="8"/>
        <v>0</v>
      </c>
      <c r="Y32" s="7">
        <f t="shared" si="9"/>
        <v>0</v>
      </c>
      <c r="Z32" s="29">
        <f t="shared" si="12"/>
        <v>0</v>
      </c>
      <c r="AA32" s="29">
        <f t="shared" si="13"/>
        <v>0</v>
      </c>
    </row>
    <row r="33" spans="2:27" x14ac:dyDescent="0.3">
      <c r="B33" s="15">
        <f>'2. Monthly CF'!B33</f>
        <v>28</v>
      </c>
      <c r="C33" s="20">
        <f>'2. Monthly CF'!C33</f>
        <v>45930</v>
      </c>
      <c r="D33" s="28">
        <f>MAX(0,'2. Monthly CF'!D33)</f>
        <v>0</v>
      </c>
      <c r="E33" s="29">
        <f t="shared" si="10"/>
        <v>5999326.2840017211</v>
      </c>
      <c r="F33" s="29">
        <f>E33*((1+'1. Inputs'!$C$16)^((C33-C32)/365)-1)</f>
        <v>42644.667826883022</v>
      </c>
      <c r="G33" s="29">
        <f t="shared" si="0"/>
        <v>6041970.9518286036</v>
      </c>
      <c r="H33" s="29">
        <f t="shared" si="1"/>
        <v>0</v>
      </c>
      <c r="I33" s="29">
        <f t="shared" si="2"/>
        <v>6041970.9518286036</v>
      </c>
      <c r="J33" s="29">
        <f t="shared" si="11"/>
        <v>7437844.3013314633</v>
      </c>
      <c r="K33" s="29">
        <f>J33*((1+'1. Inputs'!$C$17)^((C33-C32)/365)-1)</f>
        <v>101875.26750714246</v>
      </c>
      <c r="L33" s="29">
        <f t="shared" si="3"/>
        <v>7539719.5688386057</v>
      </c>
      <c r="M33" s="29">
        <f t="shared" si="4"/>
        <v>7539719.5688386057</v>
      </c>
      <c r="N33" s="29">
        <f>MIN(MAX(0,D33-H33),IF('1. Inputs'!$C$19=0,0,M33/'1. Inputs'!$C$19))</f>
        <v>0</v>
      </c>
      <c r="O33" s="29">
        <f>N33*'1. Inputs'!$C$19</f>
        <v>0</v>
      </c>
      <c r="P33" s="29">
        <f>N33*'1. Inputs'!$C$20</f>
        <v>0</v>
      </c>
      <c r="Q33" s="29">
        <f t="shared" si="5"/>
        <v>7539719.5688386057</v>
      </c>
      <c r="R33" s="29">
        <f t="shared" si="6"/>
        <v>0</v>
      </c>
      <c r="S33" s="29">
        <f>R33*'1. Inputs'!$C$22</f>
        <v>0</v>
      </c>
      <c r="T33" s="29">
        <f>R33*'1. Inputs'!$C$23</f>
        <v>0</v>
      </c>
      <c r="U33" s="29">
        <f>(H33+O33+S33)*'1. Inputs'!$C$12</f>
        <v>0</v>
      </c>
      <c r="V33" s="29">
        <f>(H33+O33+S33)*'1. Inputs'!$C$11</f>
        <v>0</v>
      </c>
      <c r="W33" s="29">
        <f t="shared" si="7"/>
        <v>0</v>
      </c>
      <c r="X33" s="29">
        <f t="shared" si="8"/>
        <v>0</v>
      </c>
      <c r="Y33" s="7">
        <f t="shared" si="9"/>
        <v>0</v>
      </c>
      <c r="Z33" s="29">
        <f t="shared" si="12"/>
        <v>0</v>
      </c>
      <c r="AA33" s="29">
        <f t="shared" si="13"/>
        <v>0</v>
      </c>
    </row>
    <row r="34" spans="2:27" x14ac:dyDescent="0.3">
      <c r="B34" s="15">
        <f>'2. Monthly CF'!B34</f>
        <v>29</v>
      </c>
      <c r="C34" s="20">
        <f>'2. Monthly CF'!C34</f>
        <v>45961</v>
      </c>
      <c r="D34" s="28">
        <f>MAX(0,'2. Monthly CF'!D34)</f>
        <v>50000</v>
      </c>
      <c r="E34" s="29">
        <f t="shared" si="10"/>
        <v>6041970.9518286036</v>
      </c>
      <c r="F34" s="29">
        <f>E34*((1+'1. Inputs'!$C$16)^((C34-C33)/365)-1)</f>
        <v>44384.635353194899</v>
      </c>
      <c r="G34" s="29">
        <f t="shared" si="0"/>
        <v>6086355.5871817982</v>
      </c>
      <c r="H34" s="29">
        <f t="shared" si="1"/>
        <v>50000</v>
      </c>
      <c r="I34" s="29">
        <f t="shared" si="2"/>
        <v>6036355.5871817982</v>
      </c>
      <c r="J34" s="29">
        <f t="shared" si="11"/>
        <v>7539719.5688386057</v>
      </c>
      <c r="K34" s="29">
        <f>J34*((1+'1. Inputs'!$C$17)^((C34-C33)/365)-1)</f>
        <v>106737.24940009878</v>
      </c>
      <c r="L34" s="29">
        <f t="shared" si="3"/>
        <v>7646456.8182387045</v>
      </c>
      <c r="M34" s="29">
        <f t="shared" si="4"/>
        <v>7596456.8182387045</v>
      </c>
      <c r="N34" s="29">
        <f>MIN(MAX(0,D34-H34),IF('1. Inputs'!$C$19=0,0,M34/'1. Inputs'!$C$19))</f>
        <v>0</v>
      </c>
      <c r="O34" s="29">
        <f>N34*'1. Inputs'!$C$19</f>
        <v>0</v>
      </c>
      <c r="P34" s="29">
        <f>N34*'1. Inputs'!$C$20</f>
        <v>0</v>
      </c>
      <c r="Q34" s="29">
        <f t="shared" si="5"/>
        <v>7596456.8182387045</v>
      </c>
      <c r="R34" s="29">
        <f t="shared" si="6"/>
        <v>0</v>
      </c>
      <c r="S34" s="29">
        <f>R34*'1. Inputs'!$C$22</f>
        <v>0</v>
      </c>
      <c r="T34" s="29">
        <f>R34*'1. Inputs'!$C$23</f>
        <v>0</v>
      </c>
      <c r="U34" s="29">
        <f>(H34+O34+S34)*'1. Inputs'!$C$12</f>
        <v>45000</v>
      </c>
      <c r="V34" s="29">
        <f>(H34+O34+S34)*'1. Inputs'!$C$11</f>
        <v>5000</v>
      </c>
      <c r="W34" s="29">
        <f t="shared" si="7"/>
        <v>0</v>
      </c>
      <c r="X34" s="29">
        <f t="shared" si="8"/>
        <v>5000</v>
      </c>
      <c r="Y34" s="7">
        <f t="shared" si="9"/>
        <v>0</v>
      </c>
      <c r="Z34" s="29">
        <f t="shared" si="12"/>
        <v>5000</v>
      </c>
      <c r="AA34" s="29">
        <f t="shared" si="13"/>
        <v>45000</v>
      </c>
    </row>
    <row r="35" spans="2:27" x14ac:dyDescent="0.3">
      <c r="B35" s="15">
        <f>'2. Monthly CF'!B35</f>
        <v>30</v>
      </c>
      <c r="C35" s="20">
        <f>'2. Monthly CF'!C35</f>
        <v>45991</v>
      </c>
      <c r="D35" s="28">
        <f>MAX(0,'2. Monthly CF'!D35)</f>
        <v>0</v>
      </c>
      <c r="E35" s="29">
        <f t="shared" si="10"/>
        <v>6036355.5871817982</v>
      </c>
      <c r="F35" s="29">
        <f>E35*((1+'1. Inputs'!$C$16)^((C35-C34)/365)-1)</f>
        <v>42907.881104378241</v>
      </c>
      <c r="G35" s="29">
        <f t="shared" si="0"/>
        <v>6079263.4682861762</v>
      </c>
      <c r="H35" s="29">
        <f t="shared" si="1"/>
        <v>0</v>
      </c>
      <c r="I35" s="29">
        <f t="shared" si="2"/>
        <v>6079263.4682861762</v>
      </c>
      <c r="J35" s="29">
        <f t="shared" si="11"/>
        <v>7596456.8182387045</v>
      </c>
      <c r="K35" s="29">
        <f>J35*((1+'1. Inputs'!$C$17)^((C35-C34)/365)-1)</f>
        <v>104047.76425959716</v>
      </c>
      <c r="L35" s="29">
        <f t="shared" si="3"/>
        <v>7700504.5824983018</v>
      </c>
      <c r="M35" s="29">
        <f t="shared" si="4"/>
        <v>7700504.5824983018</v>
      </c>
      <c r="N35" s="29">
        <f>MIN(MAX(0,D35-H35),IF('1. Inputs'!$C$19=0,0,M35/'1. Inputs'!$C$19))</f>
        <v>0</v>
      </c>
      <c r="O35" s="29">
        <f>N35*'1. Inputs'!$C$19</f>
        <v>0</v>
      </c>
      <c r="P35" s="29">
        <f>N35*'1. Inputs'!$C$20</f>
        <v>0</v>
      </c>
      <c r="Q35" s="29">
        <f t="shared" si="5"/>
        <v>7700504.5824983018</v>
      </c>
      <c r="R35" s="29">
        <f t="shared" si="6"/>
        <v>0</v>
      </c>
      <c r="S35" s="29">
        <f>R35*'1. Inputs'!$C$22</f>
        <v>0</v>
      </c>
      <c r="T35" s="29">
        <f>R35*'1. Inputs'!$C$23</f>
        <v>0</v>
      </c>
      <c r="U35" s="29">
        <f>(H35+O35+S35)*'1. Inputs'!$C$12</f>
        <v>0</v>
      </c>
      <c r="V35" s="29">
        <f>(H35+O35+S35)*'1. Inputs'!$C$11</f>
        <v>0</v>
      </c>
      <c r="W35" s="29">
        <f t="shared" si="7"/>
        <v>0</v>
      </c>
      <c r="X35" s="29">
        <f t="shared" si="8"/>
        <v>0</v>
      </c>
      <c r="Y35" s="7">
        <f t="shared" si="9"/>
        <v>0</v>
      </c>
      <c r="Z35" s="29">
        <f t="shared" si="12"/>
        <v>0</v>
      </c>
      <c r="AA35" s="29">
        <f t="shared" si="13"/>
        <v>0</v>
      </c>
    </row>
    <row r="36" spans="2:27" x14ac:dyDescent="0.3">
      <c r="B36" s="15">
        <f>'2. Monthly CF'!B36</f>
        <v>31</v>
      </c>
      <c r="C36" s="20">
        <f>'2. Monthly CF'!C36</f>
        <v>46022</v>
      </c>
      <c r="D36" s="28">
        <f>MAX(0,'2. Monthly CF'!D36)</f>
        <v>9951466</v>
      </c>
      <c r="E36" s="29">
        <f t="shared" si="10"/>
        <v>6079263.4682861762</v>
      </c>
      <c r="F36" s="29">
        <f>E36*((1+'1. Inputs'!$C$16)^((C36-C35)/365)-1)</f>
        <v>44658.588134095218</v>
      </c>
      <c r="G36" s="29">
        <f t="shared" si="0"/>
        <v>6123922.0564202713</v>
      </c>
      <c r="H36" s="29">
        <f t="shared" si="1"/>
        <v>6123922.0564202713</v>
      </c>
      <c r="I36" s="29">
        <f t="shared" si="2"/>
        <v>0</v>
      </c>
      <c r="J36" s="29">
        <f t="shared" si="11"/>
        <v>7700504.5824983018</v>
      </c>
      <c r="K36" s="29">
        <f>J36*((1+'1. Inputs'!$C$17)^((C36-C35)/365)-1)</f>
        <v>109013.42823488226</v>
      </c>
      <c r="L36" s="29">
        <f t="shared" si="3"/>
        <v>7809518.0107331844</v>
      </c>
      <c r="M36" s="29">
        <f t="shared" si="4"/>
        <v>1685595.9543129131</v>
      </c>
      <c r="N36" s="29">
        <f>MIN(MAX(0,D36-H36),IF('1. Inputs'!$C$19=0,0,M36/'1. Inputs'!$C$19))</f>
        <v>2247461.2724172175</v>
      </c>
      <c r="O36" s="29">
        <f>N36*'1. Inputs'!$C$19</f>
        <v>1685595.9543129131</v>
      </c>
      <c r="P36" s="29">
        <f>N36*'1. Inputs'!$C$20</f>
        <v>561865.31810430437</v>
      </c>
      <c r="Q36" s="29">
        <f t="shared" si="5"/>
        <v>0</v>
      </c>
      <c r="R36" s="29">
        <f t="shared" si="6"/>
        <v>1580082.6711625112</v>
      </c>
      <c r="S36" s="29">
        <f>R36*'1. Inputs'!$C$22</f>
        <v>948049.60269750666</v>
      </c>
      <c r="T36" s="29">
        <f>R36*'1. Inputs'!$C$23</f>
        <v>632033.06846500456</v>
      </c>
      <c r="U36" s="29">
        <f>(H36+O36+S36)*'1. Inputs'!$C$12</f>
        <v>7881810.8520876225</v>
      </c>
      <c r="V36" s="29">
        <f>(H36+O36+S36)*'1. Inputs'!$C$11</f>
        <v>875756.76134306926</v>
      </c>
      <c r="W36" s="29">
        <f t="shared" si="7"/>
        <v>1193898.386569309</v>
      </c>
      <c r="X36" s="29">
        <f t="shared" si="8"/>
        <v>2069655.1479123784</v>
      </c>
      <c r="Y36" s="7">
        <f t="shared" si="9"/>
        <v>0</v>
      </c>
      <c r="Z36" s="29">
        <f t="shared" si="12"/>
        <v>2069655.1479123784</v>
      </c>
      <c r="AA36" s="29">
        <f t="shared" si="13"/>
        <v>7881810.8520876225</v>
      </c>
    </row>
    <row r="37" spans="2:27" x14ac:dyDescent="0.3">
      <c r="B37" s="21" t="str">
        <f>"Tot"</f>
        <v>Tot</v>
      </c>
      <c r="D37" s="31">
        <f>SUM(D5:D36)</f>
        <v>12076466</v>
      </c>
      <c r="E37" s="32"/>
      <c r="F37" s="32"/>
      <c r="G37" s="32"/>
      <c r="H37" s="31">
        <f>SUM(H5:H36)</f>
        <v>8248922.0564202713</v>
      </c>
      <c r="I37" s="32"/>
      <c r="J37" s="32"/>
      <c r="K37" s="32"/>
      <c r="L37" s="32"/>
      <c r="M37" s="32"/>
      <c r="N37" s="31">
        <f>SUM(N5:N36)</f>
        <v>2247461.2724172175</v>
      </c>
      <c r="O37" s="31">
        <f>SUM(O5:O36)</f>
        <v>1685595.9543129131</v>
      </c>
      <c r="P37" s="31">
        <f>SUM(P5:P36)</f>
        <v>561865.31810430437</v>
      </c>
      <c r="Q37" s="32"/>
      <c r="R37" s="31">
        <f t="shared" ref="R37:Y37" si="14">SUM(R5:R36)</f>
        <v>1580082.6711625112</v>
      </c>
      <c r="S37" s="31">
        <f t="shared" si="14"/>
        <v>948049.60269750666</v>
      </c>
      <c r="T37" s="31">
        <f t="shared" si="14"/>
        <v>632033.06846500456</v>
      </c>
      <c r="U37" s="31">
        <f t="shared" si="14"/>
        <v>9794310.8520876225</v>
      </c>
      <c r="V37" s="31">
        <f t="shared" si="14"/>
        <v>1088256.7613430694</v>
      </c>
      <c r="W37" s="31">
        <f t="shared" si="14"/>
        <v>1193898.386569309</v>
      </c>
      <c r="X37" s="31">
        <f t="shared" si="14"/>
        <v>2282155.1479123784</v>
      </c>
      <c r="Y37" s="10">
        <f t="shared" si="14"/>
        <v>0</v>
      </c>
    </row>
    <row r="39" spans="2:27" ht="15" customHeight="1" x14ac:dyDescent="0.3">
      <c r="B39" s="49" t="s">
        <v>103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2:27" ht="26.4" x14ac:dyDescent="0.3">
      <c r="B40" s="4" t="s">
        <v>69</v>
      </c>
      <c r="C40" s="4" t="s">
        <v>9</v>
      </c>
      <c r="D40" s="4" t="s">
        <v>10</v>
      </c>
    </row>
    <row r="41" spans="2:27" ht="52.8" x14ac:dyDescent="0.3">
      <c r="B41" s="5" t="s">
        <v>70</v>
      </c>
      <c r="C41" s="28">
        <f>'1. Inputs'!$D$11</f>
        <v>679000</v>
      </c>
      <c r="D41" s="28">
        <f>'1. Inputs'!$D$12</f>
        <v>6111000</v>
      </c>
    </row>
    <row r="42" spans="2:27" ht="52.8" x14ac:dyDescent="0.3">
      <c r="B42" s="5" t="s">
        <v>43</v>
      </c>
      <c r="C42" s="29">
        <f>SUM(X5:X36)</f>
        <v>2282155.1479123784</v>
      </c>
      <c r="D42" s="29">
        <f>SUM(U5:U36)</f>
        <v>9794310.8520876225</v>
      </c>
    </row>
    <row r="43" spans="2:27" x14ac:dyDescent="0.3">
      <c r="B43" s="5" t="s">
        <v>71</v>
      </c>
      <c r="C43" s="29">
        <f>C42-C41</f>
        <v>1603155.1479123784</v>
      </c>
      <c r="D43" s="29">
        <f>D42-D41</f>
        <v>3683310.8520876225</v>
      </c>
    </row>
    <row r="44" spans="2:27" x14ac:dyDescent="0.3">
      <c r="B44" s="5" t="s">
        <v>72</v>
      </c>
      <c r="C44" s="19">
        <f>C42/C41</f>
        <v>3.3610532369843571</v>
      </c>
      <c r="D44" s="19">
        <f>D42/D41</f>
        <v>1.6027345527880252</v>
      </c>
    </row>
    <row r="45" spans="2:27" ht="39.6" x14ac:dyDescent="0.3">
      <c r="B45" s="5" t="s">
        <v>73</v>
      </c>
      <c r="C45" s="26">
        <f>XIRR(Z5:Z36,C5:C36)</f>
        <v>0.64926684498786935</v>
      </c>
      <c r="D45" s="26">
        <f>XIRR(AA5:AA36,C5:C36)</f>
        <v>0.22578176856040952</v>
      </c>
    </row>
    <row r="47" spans="2:27" ht="92.4" x14ac:dyDescent="0.3">
      <c r="B47" s="22" t="s">
        <v>104</v>
      </c>
      <c r="C47" s="23">
        <f>ROUND(C42+D42-'2. Monthly CF'!$D$37,2)</f>
        <v>0</v>
      </c>
      <c r="D47" s="24" t="str">
        <f>IF(ABS(C47)&lt;0.5,"OK","FAIL")</f>
        <v>OK</v>
      </c>
    </row>
  </sheetData>
  <mergeCells count="8">
    <mergeCell ref="B39:X39"/>
    <mergeCell ref="B2:Y2"/>
    <mergeCell ref="E3:G3"/>
    <mergeCell ref="H3:I3"/>
    <mergeCell ref="J3:M3"/>
    <mergeCell ref="N3:Q3"/>
    <mergeCell ref="R3:T3"/>
    <mergeCell ref="U3:X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C4A97-E551-4CDD-BC45-6A435FC7F296}">
  <dimension ref="B2:AE47"/>
  <sheetViews>
    <sheetView showGridLines="0" topLeftCell="C1" zoomScale="55" workbookViewId="0" tabSelected="0"/>
  </sheetViews>
  <sheetFormatPr defaultColWidth="8.6640625" defaultRowHeight="14.4" x14ac:dyDescent="0.3"/>
  <cols>
    <col min="1" max="1" width="4" customWidth="1"/>
    <col min="2" max="2" width="6" customWidth="1"/>
    <col min="3" max="3" width="11" customWidth="1"/>
    <col min="4" max="4" width="13" customWidth="1"/>
    <col min="5" max="5" width="12" customWidth="1"/>
    <col min="6" max="7" width="13" customWidth="1"/>
    <col min="8" max="8" width="11" customWidth="1"/>
    <col min="9" max="12" width="13" customWidth="1"/>
    <col min="13" max="13" width="11" customWidth="1"/>
    <col min="14" max="22" width="13" customWidth="1"/>
    <col min="23" max="26" width="14" customWidth="1"/>
    <col min="27" max="27" width="11" customWidth="1"/>
    <col min="28" max="31" width="14" customWidth="1"/>
  </cols>
  <sheetData>
    <row r="2" spans="2:31" ht="25.5" customHeight="1" x14ac:dyDescent="0.3">
      <c r="B2" s="48" t="s">
        <v>142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2:31" ht="15" customHeight="1" x14ac:dyDescent="0.3">
      <c r="E3" s="51" t="s">
        <v>143</v>
      </c>
      <c r="F3" s="51"/>
      <c r="G3" s="51" t="s">
        <v>144</v>
      </c>
      <c r="H3" s="51"/>
      <c r="I3" s="51"/>
      <c r="J3" s="51" t="s">
        <v>84</v>
      </c>
      <c r="K3" s="51"/>
      <c r="L3" s="51" t="s">
        <v>145</v>
      </c>
      <c r="M3" s="51"/>
      <c r="N3" s="51"/>
      <c r="O3" s="51"/>
      <c r="P3" s="51" t="s">
        <v>105</v>
      </c>
      <c r="Q3" s="51"/>
      <c r="R3" s="51"/>
      <c r="S3" s="51"/>
      <c r="T3" s="51" t="s">
        <v>106</v>
      </c>
      <c r="U3" s="51"/>
      <c r="V3" s="51"/>
      <c r="W3" s="51" t="s">
        <v>49</v>
      </c>
      <c r="X3" s="51"/>
      <c r="Y3" s="51"/>
      <c r="Z3" s="51"/>
    </row>
    <row r="4" spans="2:31" ht="39.6" x14ac:dyDescent="0.3">
      <c r="B4" s="4" t="s">
        <v>50</v>
      </c>
      <c r="C4" s="4" t="s">
        <v>35</v>
      </c>
      <c r="D4" s="4" t="s">
        <v>80</v>
      </c>
      <c r="E4" s="4" t="s">
        <v>146</v>
      </c>
      <c r="F4" s="4" t="s">
        <v>147</v>
      </c>
      <c r="G4" s="4" t="s">
        <v>107</v>
      </c>
      <c r="H4" s="4" t="s">
        <v>108</v>
      </c>
      <c r="I4" s="4" t="s">
        <v>109</v>
      </c>
      <c r="J4" s="4" t="s">
        <v>84</v>
      </c>
      <c r="K4" s="4" t="s">
        <v>85</v>
      </c>
      <c r="L4" s="4" t="s">
        <v>110</v>
      </c>
      <c r="M4" s="4" t="s">
        <v>111</v>
      </c>
      <c r="N4" s="4" t="s">
        <v>112</v>
      </c>
      <c r="O4" s="4" t="s">
        <v>89</v>
      </c>
      <c r="P4" s="4" t="s">
        <v>90</v>
      </c>
      <c r="Q4" s="4" t="s">
        <v>113</v>
      </c>
      <c r="R4" s="4" t="s">
        <v>114</v>
      </c>
      <c r="S4" s="4" t="s">
        <v>93</v>
      </c>
      <c r="T4" s="4" t="s">
        <v>94</v>
      </c>
      <c r="U4" s="4" t="s">
        <v>115</v>
      </c>
      <c r="V4" s="4" t="s">
        <v>116</v>
      </c>
      <c r="W4" s="4" t="s">
        <v>23</v>
      </c>
      <c r="X4" s="4" t="s">
        <v>117</v>
      </c>
      <c r="Y4" s="4" t="s">
        <v>118</v>
      </c>
      <c r="Z4" s="4" t="s">
        <v>119</v>
      </c>
      <c r="AA4" s="4" t="s">
        <v>100</v>
      </c>
      <c r="AB4" s="4" t="s">
        <v>120</v>
      </c>
      <c r="AC4" s="4" t="s">
        <v>121</v>
      </c>
      <c r="AD4" s="4" t="s">
        <v>122</v>
      </c>
      <c r="AE4" s="4" t="s">
        <v>123</v>
      </c>
    </row>
    <row r="5" spans="2:31" x14ac:dyDescent="0.3">
      <c r="B5" s="15">
        <f>'2. Monthly CF'!B5</f>
        <v>0</v>
      </c>
      <c r="C5" s="20">
        <f>'2. Monthly CF'!C5</f>
        <v>45077</v>
      </c>
      <c r="D5" s="28">
        <f>MAX(0,'2. Monthly CF'!D5)</f>
        <v>0</v>
      </c>
      <c r="E5" s="29">
        <f>D5*'1. Inputs'!$C$28</f>
        <v>0</v>
      </c>
      <c r="F5" s="29">
        <v>0</v>
      </c>
      <c r="G5" s="28">
        <f>'1. Inputs'!$D$29+'1. Inputs'!$D$30</f>
        <v>6449821</v>
      </c>
      <c r="H5" s="29">
        <f>0</f>
        <v>0</v>
      </c>
      <c r="I5" s="29">
        <f t="shared" ref="I5:I36" si="0">G5+H5</f>
        <v>6449821</v>
      </c>
      <c r="J5" s="29">
        <f t="shared" ref="J5:J36" si="1">MIN(F5,I5)</f>
        <v>0</v>
      </c>
      <c r="K5" s="29">
        <f t="shared" ref="K5:K36" si="2">I5-J5</f>
        <v>6449821</v>
      </c>
      <c r="L5" s="28">
        <f>'1. Inputs'!$D$29+'1. Inputs'!$D$30</f>
        <v>6449821</v>
      </c>
      <c r="M5" s="29">
        <f>0</f>
        <v>0</v>
      </c>
      <c r="N5" s="29">
        <f t="shared" ref="N5:N36" si="3">L5+M5</f>
        <v>6449821</v>
      </c>
      <c r="O5" s="29">
        <f t="shared" ref="O5:O36" si="4">MAX(0,N5-J5)</f>
        <v>6449821</v>
      </c>
      <c r="P5" s="29">
        <f>MIN(MAX(0,F5-J5),IF('1. Inputs'!$C$19=0,0,O5/'1. Inputs'!$C$19))</f>
        <v>0</v>
      </c>
      <c r="Q5" s="29">
        <f>P5*'1. Inputs'!$C$19</f>
        <v>0</v>
      </c>
      <c r="R5" s="29">
        <f>P5*'1. Inputs'!$C$20</f>
        <v>0</v>
      </c>
      <c r="S5" s="29">
        <f t="shared" ref="S5:S36" si="5">O5-Q5</f>
        <v>6449821</v>
      </c>
      <c r="T5" s="29">
        <f t="shared" ref="T5:T36" si="6">MAX(0,F5-J5-P5)</f>
        <v>0</v>
      </c>
      <c r="U5" s="29">
        <f>T5*'1. Inputs'!$C$22</f>
        <v>0</v>
      </c>
      <c r="V5" s="29">
        <f>T5*'1. Inputs'!$C$23</f>
        <v>0</v>
      </c>
      <c r="W5" s="29">
        <f>D5*'1. Inputs'!$C$27+R5+V5</f>
        <v>0</v>
      </c>
      <c r="X5" s="29">
        <f t="shared" ref="X5:X36" si="7">E5</f>
        <v>0</v>
      </c>
      <c r="Y5" s="29">
        <f>(J5+Q5+U5)*'1. Inputs'!$D$29/('1. Inputs'!$D$29+'1. Inputs'!$D$30)</f>
        <v>0</v>
      </c>
      <c r="Z5" s="29">
        <f>(J5+Q5+U5)*'1. Inputs'!$D$30/('1. Inputs'!$D$29+'1. Inputs'!$D$30)</f>
        <v>0</v>
      </c>
      <c r="AA5" s="7">
        <f t="shared" ref="AA5:AA36" si="8">ROUND(W5+X5+Y5+Z5-D5,2)</f>
        <v>0</v>
      </c>
      <c r="AB5" s="29">
        <f>-'1. Inputs'!$D$27+W5</f>
        <v>-679</v>
      </c>
      <c r="AC5" s="29">
        <f>-'1. Inputs'!$D$28+X5</f>
        <v>-339500</v>
      </c>
      <c r="AD5" s="29">
        <f>-'1. Inputs'!$D$29+Y5</f>
        <v>-1324729</v>
      </c>
      <c r="AE5" s="29">
        <f>-'1. Inputs'!$D$30+Z5</f>
        <v>-5125092</v>
      </c>
    </row>
    <row r="6" spans="2:31" x14ac:dyDescent="0.3">
      <c r="B6" s="15">
        <f>'2. Monthly CF'!B6</f>
        <v>1</v>
      </c>
      <c r="C6" s="20">
        <f>'2. Monthly CF'!C6</f>
        <v>45107</v>
      </c>
      <c r="D6" s="28">
        <f>MAX(0,'2. Monthly CF'!D6)</f>
        <v>0</v>
      </c>
      <c r="E6" s="29">
        <f>D6*'1. Inputs'!$C$28</f>
        <v>0</v>
      </c>
      <c r="F6" s="29">
        <v>0</v>
      </c>
      <c r="G6" s="29">
        <f t="shared" ref="G6:G36" si="9">K5</f>
        <v>6449821</v>
      </c>
      <c r="H6" s="29">
        <f>G6*((1+'1. Inputs'!$C$16)^((C6-C5)/365)-1)</f>
        <v>45846.893645595817</v>
      </c>
      <c r="I6" s="29">
        <f t="shared" si="0"/>
        <v>6495667.8936455958</v>
      </c>
      <c r="J6" s="29">
        <f t="shared" si="1"/>
        <v>0</v>
      </c>
      <c r="K6" s="29">
        <f t="shared" si="2"/>
        <v>6495667.8936455958</v>
      </c>
      <c r="L6" s="29">
        <f t="shared" ref="L6:L36" si="10">S5</f>
        <v>6449821</v>
      </c>
      <c r="M6" s="29">
        <f>L6*((1+'1. Inputs'!$C$17)^((C6-C5)/365)-1)</f>
        <v>88342.430027818729</v>
      </c>
      <c r="N6" s="29">
        <f t="shared" si="3"/>
        <v>6538163.4300278183</v>
      </c>
      <c r="O6" s="29">
        <f t="shared" si="4"/>
        <v>6538163.4300278183</v>
      </c>
      <c r="P6" s="29">
        <f>MIN(MAX(0,F6-J6),IF('1. Inputs'!$C$19=0,0,O6/'1. Inputs'!$C$19))</f>
        <v>0</v>
      </c>
      <c r="Q6" s="29">
        <f>P6*'1. Inputs'!$C$19</f>
        <v>0</v>
      </c>
      <c r="R6" s="29">
        <f>P6*'1. Inputs'!$C$20</f>
        <v>0</v>
      </c>
      <c r="S6" s="29">
        <f t="shared" si="5"/>
        <v>6538163.4300278183</v>
      </c>
      <c r="T6" s="29">
        <f t="shared" si="6"/>
        <v>0</v>
      </c>
      <c r="U6" s="29">
        <f>T6*'1. Inputs'!$C$22</f>
        <v>0</v>
      </c>
      <c r="V6" s="29">
        <f>T6*'1. Inputs'!$C$23</f>
        <v>0</v>
      </c>
      <c r="W6" s="29">
        <f>D6*'1. Inputs'!$C$27+R6+V6</f>
        <v>0</v>
      </c>
      <c r="X6" s="29">
        <f t="shared" si="7"/>
        <v>0</v>
      </c>
      <c r="Y6" s="29">
        <f>(J6+Q6+U6)*'1. Inputs'!$D$29/('1. Inputs'!$D$29+'1. Inputs'!$D$30)</f>
        <v>0</v>
      </c>
      <c r="Z6" s="29">
        <f>(J6+Q6+U6)*'1. Inputs'!$D$30/('1. Inputs'!$D$29+'1. Inputs'!$D$30)</f>
        <v>0</v>
      </c>
      <c r="AA6" s="7">
        <f t="shared" si="8"/>
        <v>0</v>
      </c>
      <c r="AB6" s="29">
        <f t="shared" ref="AB6:AB36" si="11">W6</f>
        <v>0</v>
      </c>
      <c r="AC6" s="29">
        <f t="shared" ref="AC6:AC36" si="12">X6</f>
        <v>0</v>
      </c>
      <c r="AD6" s="29">
        <f t="shared" ref="AD6:AD36" si="13">Y6</f>
        <v>0</v>
      </c>
      <c r="AE6" s="29">
        <f t="shared" ref="AE6:AE36" si="14">Z6</f>
        <v>0</v>
      </c>
    </row>
    <row r="7" spans="2:31" x14ac:dyDescent="0.3">
      <c r="B7" s="15">
        <f>'2. Monthly CF'!B7</f>
        <v>2</v>
      </c>
      <c r="C7" s="20">
        <f>'2. Monthly CF'!C7</f>
        <v>45138</v>
      </c>
      <c r="D7" s="28">
        <f>MAX(0,'2. Monthly CF'!D7)</f>
        <v>0</v>
      </c>
      <c r="E7" s="29">
        <f>D7*'1. Inputs'!$C$28</f>
        <v>0</v>
      </c>
      <c r="F7" s="29">
        <v>0</v>
      </c>
      <c r="G7" s="29">
        <f t="shared" si="9"/>
        <v>6495667.8936455958</v>
      </c>
      <c r="H7" s="29">
        <f>G7*((1+'1. Inputs'!$C$16)^((C7-C6)/365)-1)</f>
        <v>47717.516872148968</v>
      </c>
      <c r="I7" s="29">
        <f t="shared" si="0"/>
        <v>6543385.4105177447</v>
      </c>
      <c r="J7" s="29">
        <f t="shared" si="1"/>
        <v>0</v>
      </c>
      <c r="K7" s="29">
        <f t="shared" si="2"/>
        <v>6543385.4105177447</v>
      </c>
      <c r="L7" s="29">
        <f t="shared" si="10"/>
        <v>6538163.4300278183</v>
      </c>
      <c r="M7" s="29">
        <f>L7*((1+'1. Inputs'!$C$17)^((C7-C6)/365)-1)</f>
        <v>92558.559277686974</v>
      </c>
      <c r="N7" s="29">
        <f t="shared" si="3"/>
        <v>6630721.9893055055</v>
      </c>
      <c r="O7" s="29">
        <f t="shared" si="4"/>
        <v>6630721.9893055055</v>
      </c>
      <c r="P7" s="29">
        <f>MIN(MAX(0,F7-J7),IF('1. Inputs'!$C$19=0,0,O7/'1. Inputs'!$C$19))</f>
        <v>0</v>
      </c>
      <c r="Q7" s="29">
        <f>P7*'1. Inputs'!$C$19</f>
        <v>0</v>
      </c>
      <c r="R7" s="29">
        <f>P7*'1. Inputs'!$C$20</f>
        <v>0</v>
      </c>
      <c r="S7" s="29">
        <f t="shared" si="5"/>
        <v>6630721.9893055055</v>
      </c>
      <c r="T7" s="29">
        <f t="shared" si="6"/>
        <v>0</v>
      </c>
      <c r="U7" s="29">
        <f>T7*'1. Inputs'!$C$22</f>
        <v>0</v>
      </c>
      <c r="V7" s="29">
        <f>T7*'1. Inputs'!$C$23</f>
        <v>0</v>
      </c>
      <c r="W7" s="29">
        <f>D7*'1. Inputs'!$C$27+R7+V7</f>
        <v>0</v>
      </c>
      <c r="X7" s="29">
        <f t="shared" si="7"/>
        <v>0</v>
      </c>
      <c r="Y7" s="29">
        <f>(J7+Q7+U7)*'1. Inputs'!$D$29/('1. Inputs'!$D$29+'1. Inputs'!$D$30)</f>
        <v>0</v>
      </c>
      <c r="Z7" s="29">
        <f>(J7+Q7+U7)*'1. Inputs'!$D$30/('1. Inputs'!$D$29+'1. Inputs'!$D$30)</f>
        <v>0</v>
      </c>
      <c r="AA7" s="7">
        <f t="shared" si="8"/>
        <v>0</v>
      </c>
      <c r="AB7" s="29">
        <f t="shared" si="11"/>
        <v>0</v>
      </c>
      <c r="AC7" s="29">
        <f t="shared" si="12"/>
        <v>0</v>
      </c>
      <c r="AD7" s="29">
        <f t="shared" si="13"/>
        <v>0</v>
      </c>
      <c r="AE7" s="29">
        <f t="shared" si="14"/>
        <v>0</v>
      </c>
    </row>
    <row r="8" spans="2:31" x14ac:dyDescent="0.3">
      <c r="B8" s="15">
        <f>'2. Monthly CF'!B8</f>
        <v>3</v>
      </c>
      <c r="C8" s="20">
        <f>'2. Monthly CF'!C8</f>
        <v>45169</v>
      </c>
      <c r="D8" s="28">
        <f>MAX(0,'2. Monthly CF'!D8)</f>
        <v>0</v>
      </c>
      <c r="E8" s="29">
        <f>D8*'1. Inputs'!$C$28</f>
        <v>0</v>
      </c>
      <c r="F8" s="29">
        <v>0</v>
      </c>
      <c r="G8" s="29">
        <f t="shared" si="9"/>
        <v>6543385.4105177447</v>
      </c>
      <c r="H8" s="29">
        <f>G8*((1+'1. Inputs'!$C$16)^((C8-C7)/365)-1)</f>
        <v>48068.052252609421</v>
      </c>
      <c r="I8" s="29">
        <f t="shared" si="0"/>
        <v>6591453.462770354</v>
      </c>
      <c r="J8" s="29">
        <f t="shared" si="1"/>
        <v>0</v>
      </c>
      <c r="K8" s="29">
        <f t="shared" si="2"/>
        <v>6591453.462770354</v>
      </c>
      <c r="L8" s="29">
        <f t="shared" si="10"/>
        <v>6630721.9893055055</v>
      </c>
      <c r="M8" s="29">
        <f>L8*((1+'1. Inputs'!$C$17)^((C8-C7)/365)-1)</f>
        <v>93868.87936791523</v>
      </c>
      <c r="N8" s="29">
        <f t="shared" si="3"/>
        <v>6724590.8686734205</v>
      </c>
      <c r="O8" s="29">
        <f t="shared" si="4"/>
        <v>6724590.8686734205</v>
      </c>
      <c r="P8" s="29">
        <f>MIN(MAX(0,F8-J8),IF('1. Inputs'!$C$19=0,0,O8/'1. Inputs'!$C$19))</f>
        <v>0</v>
      </c>
      <c r="Q8" s="29">
        <f>P8*'1. Inputs'!$C$19</f>
        <v>0</v>
      </c>
      <c r="R8" s="29">
        <f>P8*'1. Inputs'!$C$20</f>
        <v>0</v>
      </c>
      <c r="S8" s="29">
        <f t="shared" si="5"/>
        <v>6724590.8686734205</v>
      </c>
      <c r="T8" s="29">
        <f t="shared" si="6"/>
        <v>0</v>
      </c>
      <c r="U8" s="29">
        <f>T8*'1. Inputs'!$C$22</f>
        <v>0</v>
      </c>
      <c r="V8" s="29">
        <f>T8*'1. Inputs'!$C$23</f>
        <v>0</v>
      </c>
      <c r="W8" s="29">
        <f>D8*'1. Inputs'!$C$27+R8+V8</f>
        <v>0</v>
      </c>
      <c r="X8" s="29">
        <f t="shared" si="7"/>
        <v>0</v>
      </c>
      <c r="Y8" s="29">
        <f>(J8+Q8+U8)*'1. Inputs'!$D$29/('1. Inputs'!$D$29+'1. Inputs'!$D$30)</f>
        <v>0</v>
      </c>
      <c r="Z8" s="29">
        <f>(J8+Q8+U8)*'1. Inputs'!$D$30/('1. Inputs'!$D$29+'1. Inputs'!$D$30)</f>
        <v>0</v>
      </c>
      <c r="AA8" s="7">
        <f t="shared" si="8"/>
        <v>0</v>
      </c>
      <c r="AB8" s="29">
        <f t="shared" si="11"/>
        <v>0</v>
      </c>
      <c r="AC8" s="29">
        <f t="shared" si="12"/>
        <v>0</v>
      </c>
      <c r="AD8" s="29">
        <f t="shared" si="13"/>
        <v>0</v>
      </c>
      <c r="AE8" s="29">
        <f t="shared" si="14"/>
        <v>0</v>
      </c>
    </row>
    <row r="9" spans="2:31" x14ac:dyDescent="0.3">
      <c r="B9" s="15">
        <f>'2. Monthly CF'!B9</f>
        <v>4</v>
      </c>
      <c r="C9" s="20">
        <f>'2. Monthly CF'!C9</f>
        <v>45199</v>
      </c>
      <c r="D9" s="28">
        <f>MAX(0,'2. Monthly CF'!D9)</f>
        <v>0</v>
      </c>
      <c r="E9" s="29">
        <f>D9*'1. Inputs'!$C$28</f>
        <v>0</v>
      </c>
      <c r="F9" s="29">
        <v>0</v>
      </c>
      <c r="G9" s="29">
        <f t="shared" si="9"/>
        <v>6591453.462770354</v>
      </c>
      <c r="H9" s="29">
        <f>G9*((1+'1. Inputs'!$C$16)^((C9-C8)/365)-1)</f>
        <v>46853.651578474302</v>
      </c>
      <c r="I9" s="29">
        <f t="shared" si="0"/>
        <v>6638307.1143488279</v>
      </c>
      <c r="J9" s="29">
        <f t="shared" si="1"/>
        <v>0</v>
      </c>
      <c r="K9" s="29">
        <f t="shared" si="2"/>
        <v>6638307.1143488279</v>
      </c>
      <c r="L9" s="29">
        <f t="shared" si="10"/>
        <v>6724590.8686734205</v>
      </c>
      <c r="M9" s="29">
        <f>L9*((1+'1. Inputs'!$C$17)^((C9-C8)/365)-1)</f>
        <v>92105.92019243486</v>
      </c>
      <c r="N9" s="29">
        <f t="shared" si="3"/>
        <v>6816696.788865855</v>
      </c>
      <c r="O9" s="29">
        <f t="shared" si="4"/>
        <v>6816696.788865855</v>
      </c>
      <c r="P9" s="29">
        <f>MIN(MAX(0,F9-J9),IF('1. Inputs'!$C$19=0,0,O9/'1. Inputs'!$C$19))</f>
        <v>0</v>
      </c>
      <c r="Q9" s="29">
        <f>P9*'1. Inputs'!$C$19</f>
        <v>0</v>
      </c>
      <c r="R9" s="29">
        <f>P9*'1. Inputs'!$C$20</f>
        <v>0</v>
      </c>
      <c r="S9" s="29">
        <f t="shared" si="5"/>
        <v>6816696.788865855</v>
      </c>
      <c r="T9" s="29">
        <f t="shared" si="6"/>
        <v>0</v>
      </c>
      <c r="U9" s="29">
        <f>T9*'1. Inputs'!$C$22</f>
        <v>0</v>
      </c>
      <c r="V9" s="29">
        <f>T9*'1. Inputs'!$C$23</f>
        <v>0</v>
      </c>
      <c r="W9" s="29">
        <f>D9*'1. Inputs'!$C$27+R9+V9</f>
        <v>0</v>
      </c>
      <c r="X9" s="29">
        <f t="shared" si="7"/>
        <v>0</v>
      </c>
      <c r="Y9" s="29">
        <f>(J9+Q9+U9)*'1. Inputs'!$D$29/('1. Inputs'!$D$29+'1. Inputs'!$D$30)</f>
        <v>0</v>
      </c>
      <c r="Z9" s="29">
        <f>(J9+Q9+U9)*'1. Inputs'!$D$30/('1. Inputs'!$D$29+'1. Inputs'!$D$30)</f>
        <v>0</v>
      </c>
      <c r="AA9" s="7">
        <f t="shared" si="8"/>
        <v>0</v>
      </c>
      <c r="AB9" s="29">
        <f t="shared" si="11"/>
        <v>0</v>
      </c>
      <c r="AC9" s="29">
        <f t="shared" si="12"/>
        <v>0</v>
      </c>
      <c r="AD9" s="29">
        <f t="shared" si="13"/>
        <v>0</v>
      </c>
      <c r="AE9" s="29">
        <f t="shared" si="14"/>
        <v>0</v>
      </c>
    </row>
    <row r="10" spans="2:31" x14ac:dyDescent="0.3">
      <c r="B10" s="15">
        <f>'2. Monthly CF'!B10</f>
        <v>5</v>
      </c>
      <c r="C10" s="20">
        <f>'2. Monthly CF'!C10</f>
        <v>45230</v>
      </c>
      <c r="D10" s="28">
        <f>MAX(0,'2. Monthly CF'!D10)</f>
        <v>400000</v>
      </c>
      <c r="E10" s="29">
        <f>D10*'1. Inputs'!$C$28</f>
        <v>20000</v>
      </c>
      <c r="F10" s="29">
        <v>379960</v>
      </c>
      <c r="G10" s="29">
        <f t="shared" si="9"/>
        <v>6638307.1143488279</v>
      </c>
      <c r="H10" s="29">
        <f>G10*((1+'1. Inputs'!$C$16)^((C10-C9)/365)-1)</f>
        <v>48765.352065077321</v>
      </c>
      <c r="I10" s="29">
        <f t="shared" si="0"/>
        <v>6687072.4664139049</v>
      </c>
      <c r="J10" s="29">
        <f t="shared" si="1"/>
        <v>379960</v>
      </c>
      <c r="K10" s="29">
        <f t="shared" si="2"/>
        <v>6307112.4664139049</v>
      </c>
      <c r="L10" s="29">
        <f t="shared" si="10"/>
        <v>6816696.788865855</v>
      </c>
      <c r="M10" s="29">
        <f>L10*((1+'1. Inputs'!$C$17)^((C10-C9)/365)-1)</f>
        <v>96501.661447085324</v>
      </c>
      <c r="N10" s="29">
        <f t="shared" si="3"/>
        <v>6913198.4503129404</v>
      </c>
      <c r="O10" s="29">
        <f t="shared" si="4"/>
        <v>6533238.4503129404</v>
      </c>
      <c r="P10" s="29">
        <f>MIN(MAX(0,F10-J10),IF('1. Inputs'!$C$19=0,0,O10/'1. Inputs'!$C$19))</f>
        <v>0</v>
      </c>
      <c r="Q10" s="29">
        <f>P10*'1. Inputs'!$C$19</f>
        <v>0</v>
      </c>
      <c r="R10" s="29">
        <f>P10*'1. Inputs'!$C$20</f>
        <v>0</v>
      </c>
      <c r="S10" s="29">
        <f t="shared" si="5"/>
        <v>6533238.4503129404</v>
      </c>
      <c r="T10" s="29">
        <f t="shared" si="6"/>
        <v>0</v>
      </c>
      <c r="U10" s="29">
        <f>T10*'1. Inputs'!$C$22</f>
        <v>0</v>
      </c>
      <c r="V10" s="29">
        <f>T10*'1. Inputs'!$C$23</f>
        <v>0</v>
      </c>
      <c r="W10" s="29">
        <f>D10*'1. Inputs'!$C$27+R10+V10</f>
        <v>40</v>
      </c>
      <c r="X10" s="29">
        <f t="shared" si="7"/>
        <v>20000</v>
      </c>
      <c r="Y10" s="29">
        <f>(J10+Q10+U10)*'1. Inputs'!$D$29/('1. Inputs'!$D$29+'1. Inputs'!$D$30)</f>
        <v>78040</v>
      </c>
      <c r="Z10" s="29">
        <f>(J10+Q10+U10)*'1. Inputs'!$D$30/('1. Inputs'!$D$29+'1. Inputs'!$D$30)</f>
        <v>301920</v>
      </c>
      <c r="AA10" s="7">
        <f t="shared" si="8"/>
        <v>0</v>
      </c>
      <c r="AB10" s="29">
        <f t="shared" si="11"/>
        <v>40</v>
      </c>
      <c r="AC10" s="29">
        <f t="shared" si="12"/>
        <v>20000</v>
      </c>
      <c r="AD10" s="29">
        <f t="shared" si="13"/>
        <v>78040</v>
      </c>
      <c r="AE10" s="29">
        <f t="shared" si="14"/>
        <v>301920</v>
      </c>
    </row>
    <row r="11" spans="2:31" x14ac:dyDescent="0.3">
      <c r="B11" s="15">
        <f>'2. Monthly CF'!B11</f>
        <v>6</v>
      </c>
      <c r="C11" s="20">
        <f>'2. Monthly CF'!C11</f>
        <v>45260</v>
      </c>
      <c r="D11" s="28">
        <f>MAX(0,'2. Monthly CF'!D11)</f>
        <v>0</v>
      </c>
      <c r="E11" s="29">
        <f>D11*'1. Inputs'!$C$28</f>
        <v>0</v>
      </c>
      <c r="F11" s="29">
        <v>0</v>
      </c>
      <c r="G11" s="29">
        <f t="shared" si="9"/>
        <v>6307112.4664139049</v>
      </c>
      <c r="H11" s="29">
        <f>G11*((1+'1. Inputs'!$C$16)^((C11-C10)/365)-1)</f>
        <v>44832.486740095548</v>
      </c>
      <c r="I11" s="29">
        <f t="shared" si="0"/>
        <v>6351944.9531540005</v>
      </c>
      <c r="J11" s="29">
        <f t="shared" si="1"/>
        <v>0</v>
      </c>
      <c r="K11" s="29">
        <f t="shared" si="2"/>
        <v>6351944.9531540005</v>
      </c>
      <c r="L11" s="29">
        <f t="shared" si="10"/>
        <v>6533238.4503129404</v>
      </c>
      <c r="M11" s="29">
        <f>L11*((1+'1. Inputs'!$C$17)^((C11-C10)/365)-1)</f>
        <v>89484.988909277599</v>
      </c>
      <c r="N11" s="29">
        <f t="shared" si="3"/>
        <v>6622723.4392222185</v>
      </c>
      <c r="O11" s="29">
        <f t="shared" si="4"/>
        <v>6622723.4392222185</v>
      </c>
      <c r="P11" s="29">
        <f>MIN(MAX(0,F11-J11),IF('1. Inputs'!$C$19=0,0,O11/'1. Inputs'!$C$19))</f>
        <v>0</v>
      </c>
      <c r="Q11" s="29">
        <f>P11*'1. Inputs'!$C$19</f>
        <v>0</v>
      </c>
      <c r="R11" s="29">
        <f>P11*'1. Inputs'!$C$20</f>
        <v>0</v>
      </c>
      <c r="S11" s="29">
        <f t="shared" si="5"/>
        <v>6622723.4392222185</v>
      </c>
      <c r="T11" s="29">
        <f t="shared" si="6"/>
        <v>0</v>
      </c>
      <c r="U11" s="29">
        <f>T11*'1. Inputs'!$C$22</f>
        <v>0</v>
      </c>
      <c r="V11" s="29">
        <f>T11*'1. Inputs'!$C$23</f>
        <v>0</v>
      </c>
      <c r="W11" s="29">
        <f>D11*'1. Inputs'!$C$27+R11+V11</f>
        <v>0</v>
      </c>
      <c r="X11" s="29">
        <f t="shared" si="7"/>
        <v>0</v>
      </c>
      <c r="Y11" s="29">
        <f>(J11+Q11+U11)*'1. Inputs'!$D$29/('1. Inputs'!$D$29+'1. Inputs'!$D$30)</f>
        <v>0</v>
      </c>
      <c r="Z11" s="29">
        <f>(J11+Q11+U11)*'1. Inputs'!$D$30/('1. Inputs'!$D$29+'1. Inputs'!$D$30)</f>
        <v>0</v>
      </c>
      <c r="AA11" s="7">
        <f t="shared" si="8"/>
        <v>0</v>
      </c>
      <c r="AB11" s="29">
        <f t="shared" si="11"/>
        <v>0</v>
      </c>
      <c r="AC11" s="29">
        <f t="shared" si="12"/>
        <v>0</v>
      </c>
      <c r="AD11" s="29">
        <f t="shared" si="13"/>
        <v>0</v>
      </c>
      <c r="AE11" s="29">
        <f t="shared" si="14"/>
        <v>0</v>
      </c>
    </row>
    <row r="12" spans="2:31" x14ac:dyDescent="0.3">
      <c r="B12" s="15">
        <f>'2. Monthly CF'!B12</f>
        <v>7</v>
      </c>
      <c r="C12" s="20">
        <f>'2. Monthly CF'!C12</f>
        <v>45291</v>
      </c>
      <c r="D12" s="28">
        <f>MAX(0,'2. Monthly CF'!D12)</f>
        <v>0</v>
      </c>
      <c r="E12" s="29">
        <f>D12*'1. Inputs'!$C$28</f>
        <v>0</v>
      </c>
      <c r="F12" s="29">
        <v>0</v>
      </c>
      <c r="G12" s="29">
        <f t="shared" si="9"/>
        <v>6351944.9531540005</v>
      </c>
      <c r="H12" s="29">
        <f>G12*((1+'1. Inputs'!$C$16)^((C12-C11)/365)-1)</f>
        <v>46661.720616842947</v>
      </c>
      <c r="I12" s="29">
        <f t="shared" si="0"/>
        <v>6398606.6737708431</v>
      </c>
      <c r="J12" s="29">
        <f t="shared" si="1"/>
        <v>0</v>
      </c>
      <c r="K12" s="29">
        <f t="shared" si="2"/>
        <v>6398606.6737708431</v>
      </c>
      <c r="L12" s="29">
        <f t="shared" si="10"/>
        <v>6622723.4392222185</v>
      </c>
      <c r="M12" s="29">
        <f>L12*((1+'1. Inputs'!$C$17)^((C12-C11)/365)-1)</f>
        <v>93755.646610743788</v>
      </c>
      <c r="N12" s="29">
        <f t="shared" si="3"/>
        <v>6716479.0858329618</v>
      </c>
      <c r="O12" s="29">
        <f t="shared" si="4"/>
        <v>6716479.0858329618</v>
      </c>
      <c r="P12" s="29">
        <f>MIN(MAX(0,F12-J12),IF('1. Inputs'!$C$19=0,0,O12/'1. Inputs'!$C$19))</f>
        <v>0</v>
      </c>
      <c r="Q12" s="29">
        <f>P12*'1. Inputs'!$C$19</f>
        <v>0</v>
      </c>
      <c r="R12" s="29">
        <f>P12*'1. Inputs'!$C$20</f>
        <v>0</v>
      </c>
      <c r="S12" s="29">
        <f t="shared" si="5"/>
        <v>6716479.0858329618</v>
      </c>
      <c r="T12" s="29">
        <f t="shared" si="6"/>
        <v>0</v>
      </c>
      <c r="U12" s="29">
        <f>T12*'1. Inputs'!$C$22</f>
        <v>0</v>
      </c>
      <c r="V12" s="29">
        <f>T12*'1. Inputs'!$C$23</f>
        <v>0</v>
      </c>
      <c r="W12" s="29">
        <f>D12*'1. Inputs'!$C$27+R12+V12</f>
        <v>0</v>
      </c>
      <c r="X12" s="29">
        <f t="shared" si="7"/>
        <v>0</v>
      </c>
      <c r="Y12" s="29">
        <f>(J12+Q12+U12)*'1. Inputs'!$D$29/('1. Inputs'!$D$29+'1. Inputs'!$D$30)</f>
        <v>0</v>
      </c>
      <c r="Z12" s="29">
        <f>(J12+Q12+U12)*'1. Inputs'!$D$30/('1. Inputs'!$D$29+'1. Inputs'!$D$30)</f>
        <v>0</v>
      </c>
      <c r="AA12" s="7">
        <f t="shared" si="8"/>
        <v>0</v>
      </c>
      <c r="AB12" s="29">
        <f t="shared" si="11"/>
        <v>0</v>
      </c>
      <c r="AC12" s="29">
        <f t="shared" si="12"/>
        <v>0</v>
      </c>
      <c r="AD12" s="29">
        <f t="shared" si="13"/>
        <v>0</v>
      </c>
      <c r="AE12" s="29">
        <f t="shared" si="14"/>
        <v>0</v>
      </c>
    </row>
    <row r="13" spans="2:31" x14ac:dyDescent="0.3">
      <c r="B13" s="15">
        <f>'2. Monthly CF'!B13</f>
        <v>8</v>
      </c>
      <c r="C13" s="20">
        <f>'2. Monthly CF'!C13</f>
        <v>45322</v>
      </c>
      <c r="D13" s="28">
        <f>MAX(0,'2. Monthly CF'!D13)</f>
        <v>100000</v>
      </c>
      <c r="E13" s="29">
        <f>D13*'1. Inputs'!$C$28</f>
        <v>5000</v>
      </c>
      <c r="F13" s="29">
        <v>94990</v>
      </c>
      <c r="G13" s="29">
        <f t="shared" si="9"/>
        <v>6398606.6737708431</v>
      </c>
      <c r="H13" s="29">
        <f>G13*((1+'1. Inputs'!$C$16)^((C13-C12)/365)-1)</f>
        <v>47004.500062663421</v>
      </c>
      <c r="I13" s="29">
        <f t="shared" si="0"/>
        <v>6445611.1738335062</v>
      </c>
      <c r="J13" s="29">
        <f t="shared" si="1"/>
        <v>94990</v>
      </c>
      <c r="K13" s="29">
        <f t="shared" si="2"/>
        <v>6350621.1738335062</v>
      </c>
      <c r="L13" s="29">
        <f t="shared" si="10"/>
        <v>6716479.0858329618</v>
      </c>
      <c r="M13" s="29">
        <f>L13*((1+'1. Inputs'!$C$17)^((C13-C12)/365)-1)</f>
        <v>95082.913459807765</v>
      </c>
      <c r="N13" s="29">
        <f t="shared" si="3"/>
        <v>6811561.9992927695</v>
      </c>
      <c r="O13" s="29">
        <f t="shared" si="4"/>
        <v>6716571.9992927695</v>
      </c>
      <c r="P13" s="29">
        <f>MIN(MAX(0,F13-J13),IF('1. Inputs'!$C$19=0,0,O13/'1. Inputs'!$C$19))</f>
        <v>0</v>
      </c>
      <c r="Q13" s="29">
        <f>P13*'1. Inputs'!$C$19</f>
        <v>0</v>
      </c>
      <c r="R13" s="29">
        <f>P13*'1. Inputs'!$C$20</f>
        <v>0</v>
      </c>
      <c r="S13" s="29">
        <f t="shared" si="5"/>
        <v>6716571.9992927695</v>
      </c>
      <c r="T13" s="29">
        <f t="shared" si="6"/>
        <v>0</v>
      </c>
      <c r="U13" s="29">
        <f>T13*'1. Inputs'!$C$22</f>
        <v>0</v>
      </c>
      <c r="V13" s="29">
        <f>T13*'1. Inputs'!$C$23</f>
        <v>0</v>
      </c>
      <c r="W13" s="29">
        <f>D13*'1. Inputs'!$C$27+R13+V13</f>
        <v>10</v>
      </c>
      <c r="X13" s="29">
        <f t="shared" si="7"/>
        <v>5000</v>
      </c>
      <c r="Y13" s="29">
        <f>(J13+Q13+U13)*'1. Inputs'!$D$29/('1. Inputs'!$D$29+'1. Inputs'!$D$30)</f>
        <v>19510</v>
      </c>
      <c r="Z13" s="29">
        <f>(J13+Q13+U13)*'1. Inputs'!$D$30/('1. Inputs'!$D$29+'1. Inputs'!$D$30)</f>
        <v>75480</v>
      </c>
      <c r="AA13" s="7">
        <f t="shared" si="8"/>
        <v>0</v>
      </c>
      <c r="AB13" s="29">
        <f t="shared" si="11"/>
        <v>10</v>
      </c>
      <c r="AC13" s="29">
        <f t="shared" si="12"/>
        <v>5000</v>
      </c>
      <c r="AD13" s="29">
        <f t="shared" si="13"/>
        <v>19510</v>
      </c>
      <c r="AE13" s="29">
        <f t="shared" si="14"/>
        <v>75480</v>
      </c>
    </row>
    <row r="14" spans="2:31" x14ac:dyDescent="0.3">
      <c r="B14" s="15">
        <f>'2. Monthly CF'!B14</f>
        <v>9</v>
      </c>
      <c r="C14" s="20">
        <f>'2. Monthly CF'!C14</f>
        <v>45351</v>
      </c>
      <c r="D14" s="28">
        <f>MAX(0,'2. Monthly CF'!D14)</f>
        <v>0</v>
      </c>
      <c r="E14" s="29">
        <f>D14*'1. Inputs'!$C$28</f>
        <v>0</v>
      </c>
      <c r="F14" s="29">
        <v>0</v>
      </c>
      <c r="G14" s="29">
        <f t="shared" si="9"/>
        <v>6350621.1738335062</v>
      </c>
      <c r="H14" s="29">
        <f>G14*((1+'1. Inputs'!$C$16)^((C14-C13)/365)-1)</f>
        <v>43631.874857868374</v>
      </c>
      <c r="I14" s="29">
        <f t="shared" si="0"/>
        <v>6394253.0486913742</v>
      </c>
      <c r="J14" s="29">
        <f t="shared" si="1"/>
        <v>0</v>
      </c>
      <c r="K14" s="29">
        <f t="shared" si="2"/>
        <v>6394253.0486913742</v>
      </c>
      <c r="L14" s="29">
        <f t="shared" si="10"/>
        <v>6716571.9992927695</v>
      </c>
      <c r="M14" s="29">
        <f>L14*((1+'1. Inputs'!$C$17)^((C14-C13)/365)-1)</f>
        <v>88909.344627613871</v>
      </c>
      <c r="N14" s="29">
        <f t="shared" si="3"/>
        <v>6805481.3439203836</v>
      </c>
      <c r="O14" s="29">
        <f t="shared" si="4"/>
        <v>6805481.3439203836</v>
      </c>
      <c r="P14" s="29">
        <f>MIN(MAX(0,F14-J14),IF('1. Inputs'!$C$19=0,0,O14/'1. Inputs'!$C$19))</f>
        <v>0</v>
      </c>
      <c r="Q14" s="29">
        <f>P14*'1. Inputs'!$C$19</f>
        <v>0</v>
      </c>
      <c r="R14" s="29">
        <f>P14*'1. Inputs'!$C$20</f>
        <v>0</v>
      </c>
      <c r="S14" s="29">
        <f t="shared" si="5"/>
        <v>6805481.3439203836</v>
      </c>
      <c r="T14" s="29">
        <f t="shared" si="6"/>
        <v>0</v>
      </c>
      <c r="U14" s="29">
        <f>T14*'1. Inputs'!$C$22</f>
        <v>0</v>
      </c>
      <c r="V14" s="29">
        <f>T14*'1. Inputs'!$C$23</f>
        <v>0</v>
      </c>
      <c r="W14" s="29">
        <f>D14*'1. Inputs'!$C$27+R14+V14</f>
        <v>0</v>
      </c>
      <c r="X14" s="29">
        <f t="shared" si="7"/>
        <v>0</v>
      </c>
      <c r="Y14" s="29">
        <f>(J14+Q14+U14)*'1. Inputs'!$D$29/('1. Inputs'!$D$29+'1. Inputs'!$D$30)</f>
        <v>0</v>
      </c>
      <c r="Z14" s="29">
        <f>(J14+Q14+U14)*'1. Inputs'!$D$30/('1. Inputs'!$D$29+'1. Inputs'!$D$30)</f>
        <v>0</v>
      </c>
      <c r="AA14" s="7">
        <f t="shared" si="8"/>
        <v>0</v>
      </c>
      <c r="AB14" s="29">
        <f t="shared" si="11"/>
        <v>0</v>
      </c>
      <c r="AC14" s="29">
        <f t="shared" si="12"/>
        <v>0</v>
      </c>
      <c r="AD14" s="29">
        <f t="shared" si="13"/>
        <v>0</v>
      </c>
      <c r="AE14" s="29">
        <f t="shared" si="14"/>
        <v>0</v>
      </c>
    </row>
    <row r="15" spans="2:31" x14ac:dyDescent="0.3">
      <c r="B15" s="15">
        <f>'2. Monthly CF'!B15</f>
        <v>10</v>
      </c>
      <c r="C15" s="20">
        <f>'2. Monthly CF'!C15</f>
        <v>45382</v>
      </c>
      <c r="D15" s="28">
        <f>MAX(0,'2. Monthly CF'!D15)</f>
        <v>0</v>
      </c>
      <c r="E15" s="29">
        <f>D15*'1. Inputs'!$C$28</f>
        <v>0</v>
      </c>
      <c r="F15" s="29">
        <v>0</v>
      </c>
      <c r="G15" s="29">
        <f t="shared" si="9"/>
        <v>6394253.0486913742</v>
      </c>
      <c r="H15" s="29">
        <f>G15*((1+'1. Inputs'!$C$16)^((C15-C14)/365)-1)</f>
        <v>46972.518104597526</v>
      </c>
      <c r="I15" s="29">
        <f t="shared" si="0"/>
        <v>6441225.5667959722</v>
      </c>
      <c r="J15" s="29">
        <f t="shared" si="1"/>
        <v>0</v>
      </c>
      <c r="K15" s="29">
        <f t="shared" si="2"/>
        <v>6441225.5667959722</v>
      </c>
      <c r="L15" s="29">
        <f t="shared" si="10"/>
        <v>6805481.3439203836</v>
      </c>
      <c r="M15" s="29">
        <f>L15*((1+'1. Inputs'!$C$17)^((C15-C14)/365)-1)</f>
        <v>96342.888201827576</v>
      </c>
      <c r="N15" s="29">
        <f t="shared" si="3"/>
        <v>6901824.2321222108</v>
      </c>
      <c r="O15" s="29">
        <f t="shared" si="4"/>
        <v>6901824.2321222108</v>
      </c>
      <c r="P15" s="29">
        <f>MIN(MAX(0,F15-J15),IF('1. Inputs'!$C$19=0,0,O15/'1. Inputs'!$C$19))</f>
        <v>0</v>
      </c>
      <c r="Q15" s="29">
        <f>P15*'1. Inputs'!$C$19</f>
        <v>0</v>
      </c>
      <c r="R15" s="29">
        <f>P15*'1. Inputs'!$C$20</f>
        <v>0</v>
      </c>
      <c r="S15" s="29">
        <f t="shared" si="5"/>
        <v>6901824.2321222108</v>
      </c>
      <c r="T15" s="29">
        <f t="shared" si="6"/>
        <v>0</v>
      </c>
      <c r="U15" s="29">
        <f>T15*'1. Inputs'!$C$22</f>
        <v>0</v>
      </c>
      <c r="V15" s="29">
        <f>T15*'1. Inputs'!$C$23</f>
        <v>0</v>
      </c>
      <c r="W15" s="29">
        <f>D15*'1. Inputs'!$C$27+R15+V15</f>
        <v>0</v>
      </c>
      <c r="X15" s="29">
        <f t="shared" si="7"/>
        <v>0</v>
      </c>
      <c r="Y15" s="29">
        <f>(J15+Q15+U15)*'1. Inputs'!$D$29/('1. Inputs'!$D$29+'1. Inputs'!$D$30)</f>
        <v>0</v>
      </c>
      <c r="Z15" s="29">
        <f>(J15+Q15+U15)*'1. Inputs'!$D$30/('1. Inputs'!$D$29+'1. Inputs'!$D$30)</f>
        <v>0</v>
      </c>
      <c r="AA15" s="7">
        <f t="shared" si="8"/>
        <v>0</v>
      </c>
      <c r="AB15" s="29">
        <f t="shared" si="11"/>
        <v>0</v>
      </c>
      <c r="AC15" s="29">
        <f t="shared" si="12"/>
        <v>0</v>
      </c>
      <c r="AD15" s="29">
        <f t="shared" si="13"/>
        <v>0</v>
      </c>
      <c r="AE15" s="29">
        <f t="shared" si="14"/>
        <v>0</v>
      </c>
    </row>
    <row r="16" spans="2:31" x14ac:dyDescent="0.3">
      <c r="B16" s="15">
        <f>'2. Monthly CF'!B16</f>
        <v>11</v>
      </c>
      <c r="C16" s="20">
        <f>'2. Monthly CF'!C16</f>
        <v>45412</v>
      </c>
      <c r="D16" s="28">
        <f>MAX(0,'2. Monthly CF'!D16)</f>
        <v>0</v>
      </c>
      <c r="E16" s="29">
        <f>D16*'1. Inputs'!$C$28</f>
        <v>0</v>
      </c>
      <c r="F16" s="29">
        <v>0</v>
      </c>
      <c r="G16" s="29">
        <f t="shared" si="9"/>
        <v>6441225.5667959722</v>
      </c>
      <c r="H16" s="29">
        <f>G16*((1+'1. Inputs'!$C$16)^((C16-C15)/365)-1)</f>
        <v>45785.795219462299</v>
      </c>
      <c r="I16" s="29">
        <f t="shared" si="0"/>
        <v>6487011.3620154345</v>
      </c>
      <c r="J16" s="29">
        <f t="shared" si="1"/>
        <v>0</v>
      </c>
      <c r="K16" s="29">
        <f t="shared" si="2"/>
        <v>6487011.3620154345</v>
      </c>
      <c r="L16" s="29">
        <f t="shared" si="10"/>
        <v>6901824.2321222108</v>
      </c>
      <c r="M16" s="29">
        <f>L16*((1+'1. Inputs'!$C$17)^((C16-C15)/365)-1)</f>
        <v>94533.464462123855</v>
      </c>
      <c r="N16" s="29">
        <f t="shared" si="3"/>
        <v>6996357.6965843346</v>
      </c>
      <c r="O16" s="29">
        <f t="shared" si="4"/>
        <v>6996357.6965843346</v>
      </c>
      <c r="P16" s="29">
        <f>MIN(MAX(0,F16-J16),IF('1. Inputs'!$C$19=0,0,O16/'1. Inputs'!$C$19))</f>
        <v>0</v>
      </c>
      <c r="Q16" s="29">
        <f>P16*'1. Inputs'!$C$19</f>
        <v>0</v>
      </c>
      <c r="R16" s="29">
        <f>P16*'1. Inputs'!$C$20</f>
        <v>0</v>
      </c>
      <c r="S16" s="29">
        <f t="shared" si="5"/>
        <v>6996357.6965843346</v>
      </c>
      <c r="T16" s="29">
        <f t="shared" si="6"/>
        <v>0</v>
      </c>
      <c r="U16" s="29">
        <f>T16*'1. Inputs'!$C$22</f>
        <v>0</v>
      </c>
      <c r="V16" s="29">
        <f>T16*'1. Inputs'!$C$23</f>
        <v>0</v>
      </c>
      <c r="W16" s="29">
        <f>D16*'1. Inputs'!$C$27+R16+V16</f>
        <v>0</v>
      </c>
      <c r="X16" s="29">
        <f t="shared" si="7"/>
        <v>0</v>
      </c>
      <c r="Y16" s="29">
        <f>(J16+Q16+U16)*'1. Inputs'!$D$29/('1. Inputs'!$D$29+'1. Inputs'!$D$30)</f>
        <v>0</v>
      </c>
      <c r="Z16" s="29">
        <f>(J16+Q16+U16)*'1. Inputs'!$D$30/('1. Inputs'!$D$29+'1. Inputs'!$D$30)</f>
        <v>0</v>
      </c>
      <c r="AA16" s="7">
        <f t="shared" si="8"/>
        <v>0</v>
      </c>
      <c r="AB16" s="29">
        <f t="shared" si="11"/>
        <v>0</v>
      </c>
      <c r="AC16" s="29">
        <f t="shared" si="12"/>
        <v>0</v>
      </c>
      <c r="AD16" s="29">
        <f t="shared" si="13"/>
        <v>0</v>
      </c>
      <c r="AE16" s="29">
        <f t="shared" si="14"/>
        <v>0</v>
      </c>
    </row>
    <row r="17" spans="2:31" x14ac:dyDescent="0.3">
      <c r="B17" s="15">
        <f>'2. Monthly CF'!B17</f>
        <v>12</v>
      </c>
      <c r="C17" s="20">
        <f>'2. Monthly CF'!C17</f>
        <v>45443</v>
      </c>
      <c r="D17" s="28">
        <f>MAX(0,'2. Monthly CF'!D17)</f>
        <v>200000</v>
      </c>
      <c r="E17" s="29">
        <f>D17*'1. Inputs'!$C$28</f>
        <v>10000</v>
      </c>
      <c r="F17" s="29">
        <v>189980</v>
      </c>
      <c r="G17" s="29">
        <f t="shared" si="9"/>
        <v>6487011.3620154345</v>
      </c>
      <c r="H17" s="29">
        <f>G17*((1+'1. Inputs'!$C$16)^((C17-C16)/365)-1)</f>
        <v>47653.925536988405</v>
      </c>
      <c r="I17" s="29">
        <f t="shared" si="0"/>
        <v>6534665.2875524228</v>
      </c>
      <c r="J17" s="29">
        <f t="shared" si="1"/>
        <v>189980</v>
      </c>
      <c r="K17" s="29">
        <f t="shared" si="2"/>
        <v>6344685.2875524228</v>
      </c>
      <c r="L17" s="29">
        <f t="shared" si="10"/>
        <v>6996357.6965843346</v>
      </c>
      <c r="M17" s="29">
        <f>L17*((1+'1. Inputs'!$C$17)^((C17-C16)/365)-1)</f>
        <v>99045.059903687259</v>
      </c>
      <c r="N17" s="29">
        <f t="shared" si="3"/>
        <v>7095402.7564880215</v>
      </c>
      <c r="O17" s="29">
        <f t="shared" si="4"/>
        <v>6905422.7564880215</v>
      </c>
      <c r="P17" s="29">
        <f>MIN(MAX(0,F17-J17),IF('1. Inputs'!$C$19=0,0,O17/'1. Inputs'!$C$19))</f>
        <v>0</v>
      </c>
      <c r="Q17" s="29">
        <f>P17*'1. Inputs'!$C$19</f>
        <v>0</v>
      </c>
      <c r="R17" s="29">
        <f>P17*'1. Inputs'!$C$20</f>
        <v>0</v>
      </c>
      <c r="S17" s="29">
        <f t="shared" si="5"/>
        <v>6905422.7564880215</v>
      </c>
      <c r="T17" s="29">
        <f t="shared" si="6"/>
        <v>0</v>
      </c>
      <c r="U17" s="29">
        <f>T17*'1. Inputs'!$C$22</f>
        <v>0</v>
      </c>
      <c r="V17" s="29">
        <f>T17*'1. Inputs'!$C$23</f>
        <v>0</v>
      </c>
      <c r="W17" s="29">
        <f>D17*'1. Inputs'!$C$27+R17+V17</f>
        <v>20</v>
      </c>
      <c r="X17" s="29">
        <f t="shared" si="7"/>
        <v>10000</v>
      </c>
      <c r="Y17" s="29">
        <f>(J17+Q17+U17)*'1. Inputs'!$D$29/('1. Inputs'!$D$29+'1. Inputs'!$D$30)</f>
        <v>39020</v>
      </c>
      <c r="Z17" s="29">
        <f>(J17+Q17+U17)*'1. Inputs'!$D$30/('1. Inputs'!$D$29+'1. Inputs'!$D$30)</f>
        <v>150960</v>
      </c>
      <c r="AA17" s="7">
        <f t="shared" si="8"/>
        <v>0</v>
      </c>
      <c r="AB17" s="29">
        <f t="shared" si="11"/>
        <v>20</v>
      </c>
      <c r="AC17" s="29">
        <f t="shared" si="12"/>
        <v>10000</v>
      </c>
      <c r="AD17" s="29">
        <f t="shared" si="13"/>
        <v>39020</v>
      </c>
      <c r="AE17" s="29">
        <f t="shared" si="14"/>
        <v>150960</v>
      </c>
    </row>
    <row r="18" spans="2:31" x14ac:dyDescent="0.3">
      <c r="B18" s="15">
        <f>'2. Monthly CF'!B18</f>
        <v>13</v>
      </c>
      <c r="C18" s="20">
        <f>'2. Monthly CF'!C18</f>
        <v>45473</v>
      </c>
      <c r="D18" s="28">
        <f>MAX(0,'2. Monthly CF'!D18)</f>
        <v>0</v>
      </c>
      <c r="E18" s="29">
        <f>D18*'1. Inputs'!$C$28</f>
        <v>0</v>
      </c>
      <c r="F18" s="29">
        <v>0</v>
      </c>
      <c r="G18" s="29">
        <f t="shared" si="9"/>
        <v>6344685.2875524228</v>
      </c>
      <c r="H18" s="29">
        <f>G18*((1+'1. Inputs'!$C$16)^((C18-C17)/365)-1)</f>
        <v>45099.563475202245</v>
      </c>
      <c r="I18" s="29">
        <f t="shared" si="0"/>
        <v>6389784.8510276247</v>
      </c>
      <c r="J18" s="29">
        <f t="shared" si="1"/>
        <v>0</v>
      </c>
      <c r="K18" s="29">
        <f t="shared" si="2"/>
        <v>6389784.8510276247</v>
      </c>
      <c r="L18" s="29">
        <f t="shared" si="10"/>
        <v>6905422.7564880215</v>
      </c>
      <c r="M18" s="29">
        <f>L18*((1+'1. Inputs'!$C$17)^((C18-C17)/365)-1)</f>
        <v>94582.753021758297</v>
      </c>
      <c r="N18" s="29">
        <f t="shared" si="3"/>
        <v>7000005.5095097795</v>
      </c>
      <c r="O18" s="29">
        <f t="shared" si="4"/>
        <v>7000005.5095097795</v>
      </c>
      <c r="P18" s="29">
        <f>MIN(MAX(0,F18-J18),IF('1. Inputs'!$C$19=0,0,O18/'1. Inputs'!$C$19))</f>
        <v>0</v>
      </c>
      <c r="Q18" s="29">
        <f>P18*'1. Inputs'!$C$19</f>
        <v>0</v>
      </c>
      <c r="R18" s="29">
        <f>P18*'1. Inputs'!$C$20</f>
        <v>0</v>
      </c>
      <c r="S18" s="29">
        <f t="shared" si="5"/>
        <v>7000005.5095097795</v>
      </c>
      <c r="T18" s="29">
        <f t="shared" si="6"/>
        <v>0</v>
      </c>
      <c r="U18" s="29">
        <f>T18*'1. Inputs'!$C$22</f>
        <v>0</v>
      </c>
      <c r="V18" s="29">
        <f>T18*'1. Inputs'!$C$23</f>
        <v>0</v>
      </c>
      <c r="W18" s="29">
        <f>D18*'1. Inputs'!$C$27+R18+V18</f>
        <v>0</v>
      </c>
      <c r="X18" s="29">
        <f t="shared" si="7"/>
        <v>0</v>
      </c>
      <c r="Y18" s="29">
        <f>(J18+Q18+U18)*'1. Inputs'!$D$29/('1. Inputs'!$D$29+'1. Inputs'!$D$30)</f>
        <v>0</v>
      </c>
      <c r="Z18" s="29">
        <f>(J18+Q18+U18)*'1. Inputs'!$D$30/('1. Inputs'!$D$29+'1. Inputs'!$D$30)</f>
        <v>0</v>
      </c>
      <c r="AA18" s="7">
        <f t="shared" si="8"/>
        <v>0</v>
      </c>
      <c r="AB18" s="29">
        <f t="shared" si="11"/>
        <v>0</v>
      </c>
      <c r="AC18" s="29">
        <f t="shared" si="12"/>
        <v>0</v>
      </c>
      <c r="AD18" s="29">
        <f t="shared" si="13"/>
        <v>0</v>
      </c>
      <c r="AE18" s="29">
        <f t="shared" si="14"/>
        <v>0</v>
      </c>
    </row>
    <row r="19" spans="2:31" x14ac:dyDescent="0.3">
      <c r="B19" s="15">
        <f>'2. Monthly CF'!B19</f>
        <v>14</v>
      </c>
      <c r="C19" s="20">
        <f>'2. Monthly CF'!C19</f>
        <v>45504</v>
      </c>
      <c r="D19" s="28">
        <f>MAX(0,'2. Monthly CF'!D19)</f>
        <v>225000</v>
      </c>
      <c r="E19" s="29">
        <f>D19*'1. Inputs'!$C$28</f>
        <v>11250</v>
      </c>
      <c r="F19" s="29">
        <v>213727.5</v>
      </c>
      <c r="G19" s="29">
        <f t="shared" si="9"/>
        <v>6389784.8510276247</v>
      </c>
      <c r="H19" s="29">
        <f>G19*((1+'1. Inputs'!$C$16)^((C19-C18)/365)-1)</f>
        <v>46939.694490321213</v>
      </c>
      <c r="I19" s="29">
        <f t="shared" si="0"/>
        <v>6436724.5455179457</v>
      </c>
      <c r="J19" s="29">
        <f t="shared" si="1"/>
        <v>213727.5</v>
      </c>
      <c r="K19" s="29">
        <f t="shared" si="2"/>
        <v>6222997.0455179457</v>
      </c>
      <c r="L19" s="29">
        <f t="shared" si="10"/>
        <v>7000005.5095097795</v>
      </c>
      <c r="M19" s="29">
        <f>L19*((1+'1. Inputs'!$C$17)^((C19-C18)/365)-1)</f>
        <v>99096.700752452685</v>
      </c>
      <c r="N19" s="29">
        <f t="shared" si="3"/>
        <v>7099102.2102622325</v>
      </c>
      <c r="O19" s="29">
        <f t="shared" si="4"/>
        <v>6885374.7102622325</v>
      </c>
      <c r="P19" s="29">
        <f>MIN(MAX(0,F19-J19),IF('1. Inputs'!$C$19=0,0,O19/'1. Inputs'!$C$19))</f>
        <v>0</v>
      </c>
      <c r="Q19" s="29">
        <f>P19*'1. Inputs'!$C$19</f>
        <v>0</v>
      </c>
      <c r="R19" s="29">
        <f>P19*'1. Inputs'!$C$20</f>
        <v>0</v>
      </c>
      <c r="S19" s="29">
        <f t="shared" si="5"/>
        <v>6885374.7102622325</v>
      </c>
      <c r="T19" s="29">
        <f t="shared" si="6"/>
        <v>0</v>
      </c>
      <c r="U19" s="29">
        <f>T19*'1. Inputs'!$C$22</f>
        <v>0</v>
      </c>
      <c r="V19" s="29">
        <f>T19*'1. Inputs'!$C$23</f>
        <v>0</v>
      </c>
      <c r="W19" s="29">
        <f>D19*'1. Inputs'!$C$27+R19+V19</f>
        <v>22.5</v>
      </c>
      <c r="X19" s="29">
        <f t="shared" si="7"/>
        <v>11250</v>
      </c>
      <c r="Y19" s="29">
        <f>(J19+Q19+U19)*'1. Inputs'!$D$29/('1. Inputs'!$D$29+'1. Inputs'!$D$30)</f>
        <v>43897.5</v>
      </c>
      <c r="Z19" s="29">
        <f>(J19+Q19+U19)*'1. Inputs'!$D$30/('1. Inputs'!$D$29+'1. Inputs'!$D$30)</f>
        <v>169830</v>
      </c>
      <c r="AA19" s="7">
        <f t="shared" si="8"/>
        <v>0</v>
      </c>
      <c r="AB19" s="29">
        <f t="shared" si="11"/>
        <v>22.5</v>
      </c>
      <c r="AC19" s="29">
        <f t="shared" si="12"/>
        <v>11250</v>
      </c>
      <c r="AD19" s="29">
        <f t="shared" si="13"/>
        <v>43897.5</v>
      </c>
      <c r="AE19" s="29">
        <f t="shared" si="14"/>
        <v>169830</v>
      </c>
    </row>
    <row r="20" spans="2:31" x14ac:dyDescent="0.3">
      <c r="B20" s="15">
        <f>'2. Monthly CF'!B20</f>
        <v>15</v>
      </c>
      <c r="C20" s="20">
        <f>'2. Monthly CF'!C20</f>
        <v>45535</v>
      </c>
      <c r="D20" s="28">
        <f>MAX(0,'2. Monthly CF'!D20)</f>
        <v>0</v>
      </c>
      <c r="E20" s="29">
        <f>D20*'1. Inputs'!$C$28</f>
        <v>0</v>
      </c>
      <c r="F20" s="29">
        <v>0</v>
      </c>
      <c r="G20" s="29">
        <f t="shared" si="9"/>
        <v>6222997.0455179457</v>
      </c>
      <c r="H20" s="29">
        <f>G20*((1+'1. Inputs'!$C$16)^((C20-C19)/365)-1)</f>
        <v>45714.462527452168</v>
      </c>
      <c r="I20" s="29">
        <f t="shared" si="0"/>
        <v>6268711.5080453977</v>
      </c>
      <c r="J20" s="29">
        <f t="shared" si="1"/>
        <v>0</v>
      </c>
      <c r="K20" s="29">
        <f t="shared" si="2"/>
        <v>6268711.5080453977</v>
      </c>
      <c r="L20" s="29">
        <f t="shared" si="10"/>
        <v>6885374.7102622325</v>
      </c>
      <c r="M20" s="29">
        <f>L20*((1+'1. Inputs'!$C$17)^((C20-C19)/365)-1)</f>
        <v>97473.911456841946</v>
      </c>
      <c r="N20" s="29">
        <f t="shared" si="3"/>
        <v>6982848.6217190744</v>
      </c>
      <c r="O20" s="29">
        <f t="shared" si="4"/>
        <v>6982848.6217190744</v>
      </c>
      <c r="P20" s="29">
        <f>MIN(MAX(0,F20-J20),IF('1. Inputs'!$C$19=0,0,O20/'1. Inputs'!$C$19))</f>
        <v>0</v>
      </c>
      <c r="Q20" s="29">
        <f>P20*'1. Inputs'!$C$19</f>
        <v>0</v>
      </c>
      <c r="R20" s="29">
        <f>P20*'1. Inputs'!$C$20</f>
        <v>0</v>
      </c>
      <c r="S20" s="29">
        <f t="shared" si="5"/>
        <v>6982848.6217190744</v>
      </c>
      <c r="T20" s="29">
        <f t="shared" si="6"/>
        <v>0</v>
      </c>
      <c r="U20" s="29">
        <f>T20*'1. Inputs'!$C$22</f>
        <v>0</v>
      </c>
      <c r="V20" s="29">
        <f>T20*'1. Inputs'!$C$23</f>
        <v>0</v>
      </c>
      <c r="W20" s="29">
        <f>D20*'1. Inputs'!$C$27+R20+V20</f>
        <v>0</v>
      </c>
      <c r="X20" s="29">
        <f t="shared" si="7"/>
        <v>0</v>
      </c>
      <c r="Y20" s="29">
        <f>(J20+Q20+U20)*'1. Inputs'!$D$29/('1. Inputs'!$D$29+'1. Inputs'!$D$30)</f>
        <v>0</v>
      </c>
      <c r="Z20" s="29">
        <f>(J20+Q20+U20)*'1. Inputs'!$D$30/('1. Inputs'!$D$29+'1. Inputs'!$D$30)</f>
        <v>0</v>
      </c>
      <c r="AA20" s="7">
        <f t="shared" si="8"/>
        <v>0</v>
      </c>
      <c r="AB20" s="29">
        <f t="shared" si="11"/>
        <v>0</v>
      </c>
      <c r="AC20" s="29">
        <f t="shared" si="12"/>
        <v>0</v>
      </c>
      <c r="AD20" s="29">
        <f t="shared" si="13"/>
        <v>0</v>
      </c>
      <c r="AE20" s="29">
        <f t="shared" si="14"/>
        <v>0</v>
      </c>
    </row>
    <row r="21" spans="2:31" x14ac:dyDescent="0.3">
      <c r="B21" s="15">
        <f>'2. Monthly CF'!B21</f>
        <v>16</v>
      </c>
      <c r="C21" s="20">
        <f>'2. Monthly CF'!C21</f>
        <v>45565</v>
      </c>
      <c r="D21" s="28">
        <f>MAX(0,'2. Monthly CF'!D21)</f>
        <v>0</v>
      </c>
      <c r="E21" s="29">
        <f>D21*'1. Inputs'!$C$28</f>
        <v>0</v>
      </c>
      <c r="F21" s="29">
        <v>0</v>
      </c>
      <c r="G21" s="29">
        <f t="shared" si="9"/>
        <v>6268711.5080453977</v>
      </c>
      <c r="H21" s="29">
        <f>G21*((1+'1. Inputs'!$C$16)^((C21-C20)/365)-1)</f>
        <v>44559.523404491367</v>
      </c>
      <c r="I21" s="29">
        <f t="shared" si="0"/>
        <v>6313271.0314498888</v>
      </c>
      <c r="J21" s="29">
        <f t="shared" si="1"/>
        <v>0</v>
      </c>
      <c r="K21" s="29">
        <f t="shared" si="2"/>
        <v>6313271.0314498888</v>
      </c>
      <c r="L21" s="29">
        <f t="shared" si="10"/>
        <v>6982848.6217190744</v>
      </c>
      <c r="M21" s="29">
        <f>L21*((1+'1. Inputs'!$C$17)^((C21-C20)/365)-1)</f>
        <v>95643.245875981331</v>
      </c>
      <c r="N21" s="29">
        <f t="shared" si="3"/>
        <v>7078491.8675950561</v>
      </c>
      <c r="O21" s="29">
        <f t="shared" si="4"/>
        <v>7078491.8675950561</v>
      </c>
      <c r="P21" s="29">
        <f>MIN(MAX(0,F21-J21),IF('1. Inputs'!$C$19=0,0,O21/'1. Inputs'!$C$19))</f>
        <v>0</v>
      </c>
      <c r="Q21" s="29">
        <f>P21*'1. Inputs'!$C$19</f>
        <v>0</v>
      </c>
      <c r="R21" s="29">
        <f>P21*'1. Inputs'!$C$20</f>
        <v>0</v>
      </c>
      <c r="S21" s="29">
        <f t="shared" si="5"/>
        <v>7078491.8675950561</v>
      </c>
      <c r="T21" s="29">
        <f t="shared" si="6"/>
        <v>0</v>
      </c>
      <c r="U21" s="29">
        <f>T21*'1. Inputs'!$C$22</f>
        <v>0</v>
      </c>
      <c r="V21" s="29">
        <f>T21*'1. Inputs'!$C$23</f>
        <v>0</v>
      </c>
      <c r="W21" s="29">
        <f>D21*'1. Inputs'!$C$27+R21+V21</f>
        <v>0</v>
      </c>
      <c r="X21" s="29">
        <f t="shared" si="7"/>
        <v>0</v>
      </c>
      <c r="Y21" s="29">
        <f>(J21+Q21+U21)*'1. Inputs'!$D$29/('1. Inputs'!$D$29+'1. Inputs'!$D$30)</f>
        <v>0</v>
      </c>
      <c r="Z21" s="29">
        <f>(J21+Q21+U21)*'1. Inputs'!$D$30/('1. Inputs'!$D$29+'1. Inputs'!$D$30)</f>
        <v>0</v>
      </c>
      <c r="AA21" s="7">
        <f t="shared" si="8"/>
        <v>0</v>
      </c>
      <c r="AB21" s="29">
        <f t="shared" si="11"/>
        <v>0</v>
      </c>
      <c r="AC21" s="29">
        <f t="shared" si="12"/>
        <v>0</v>
      </c>
      <c r="AD21" s="29">
        <f t="shared" si="13"/>
        <v>0</v>
      </c>
      <c r="AE21" s="29">
        <f t="shared" si="14"/>
        <v>0</v>
      </c>
    </row>
    <row r="22" spans="2:31" x14ac:dyDescent="0.3">
      <c r="B22" s="15">
        <f>'2. Monthly CF'!B22</f>
        <v>17</v>
      </c>
      <c r="C22" s="20">
        <f>'2. Monthly CF'!C22</f>
        <v>45596</v>
      </c>
      <c r="D22" s="28">
        <f>MAX(0,'2. Monthly CF'!D22)</f>
        <v>250000</v>
      </c>
      <c r="E22" s="29">
        <f>D22*'1. Inputs'!$C$28</f>
        <v>12500</v>
      </c>
      <c r="F22" s="29">
        <v>237475</v>
      </c>
      <c r="G22" s="29">
        <f t="shared" si="9"/>
        <v>6313271.0314498888</v>
      </c>
      <c r="H22" s="29">
        <f>G22*((1+'1. Inputs'!$C$16)^((C22-C21)/365)-1)</f>
        <v>46377.619960583506</v>
      </c>
      <c r="I22" s="29">
        <f t="shared" si="0"/>
        <v>6359648.6514104726</v>
      </c>
      <c r="J22" s="29">
        <f t="shared" si="1"/>
        <v>237475</v>
      </c>
      <c r="K22" s="29">
        <f t="shared" si="2"/>
        <v>6122173.6514104726</v>
      </c>
      <c r="L22" s="29">
        <f t="shared" si="10"/>
        <v>7078491.8675950561</v>
      </c>
      <c r="M22" s="29">
        <f>L22*((1+'1. Inputs'!$C$17)^((C22-C21)/365)-1)</f>
        <v>100207.80546940757</v>
      </c>
      <c r="N22" s="29">
        <f t="shared" si="3"/>
        <v>7178699.6730644638</v>
      </c>
      <c r="O22" s="29">
        <f t="shared" si="4"/>
        <v>6941224.6730644638</v>
      </c>
      <c r="P22" s="29">
        <f>MIN(MAX(0,F22-J22),IF('1. Inputs'!$C$19=0,0,O22/'1. Inputs'!$C$19))</f>
        <v>0</v>
      </c>
      <c r="Q22" s="29">
        <f>P22*'1. Inputs'!$C$19</f>
        <v>0</v>
      </c>
      <c r="R22" s="29">
        <f>P22*'1. Inputs'!$C$20</f>
        <v>0</v>
      </c>
      <c r="S22" s="29">
        <f t="shared" si="5"/>
        <v>6941224.6730644638</v>
      </c>
      <c r="T22" s="29">
        <f t="shared" si="6"/>
        <v>0</v>
      </c>
      <c r="U22" s="29">
        <f>T22*'1. Inputs'!$C$22</f>
        <v>0</v>
      </c>
      <c r="V22" s="29">
        <f>T22*'1. Inputs'!$C$23</f>
        <v>0</v>
      </c>
      <c r="W22" s="29">
        <f>D22*'1. Inputs'!$C$27+R22+V22</f>
        <v>25</v>
      </c>
      <c r="X22" s="29">
        <f t="shared" si="7"/>
        <v>12500</v>
      </c>
      <c r="Y22" s="29">
        <f>(J22+Q22+U22)*'1. Inputs'!$D$29/('1. Inputs'!$D$29+'1. Inputs'!$D$30)</f>
        <v>48775</v>
      </c>
      <c r="Z22" s="29">
        <f>(J22+Q22+U22)*'1. Inputs'!$D$30/('1. Inputs'!$D$29+'1. Inputs'!$D$30)</f>
        <v>188700</v>
      </c>
      <c r="AA22" s="7">
        <f t="shared" si="8"/>
        <v>0</v>
      </c>
      <c r="AB22" s="29">
        <f t="shared" si="11"/>
        <v>25</v>
      </c>
      <c r="AC22" s="29">
        <f t="shared" si="12"/>
        <v>12500</v>
      </c>
      <c r="AD22" s="29">
        <f t="shared" si="13"/>
        <v>48775</v>
      </c>
      <c r="AE22" s="29">
        <f t="shared" si="14"/>
        <v>188700</v>
      </c>
    </row>
    <row r="23" spans="2:31" x14ac:dyDescent="0.3">
      <c r="B23" s="15">
        <f>'2. Monthly CF'!B23</f>
        <v>18</v>
      </c>
      <c r="C23" s="20">
        <f>'2. Monthly CF'!C23</f>
        <v>45626</v>
      </c>
      <c r="D23" s="28">
        <f>MAX(0,'2. Monthly CF'!D23)</f>
        <v>0</v>
      </c>
      <c r="E23" s="29">
        <f>D23*'1. Inputs'!$C$28</f>
        <v>0</v>
      </c>
      <c r="F23" s="29">
        <v>0</v>
      </c>
      <c r="G23" s="29">
        <f t="shared" si="9"/>
        <v>6122173.6514104726</v>
      </c>
      <c r="H23" s="29">
        <f>G23*((1+'1. Inputs'!$C$16)^((C23-C22)/365)-1)</f>
        <v>43517.896741023498</v>
      </c>
      <c r="I23" s="29">
        <f t="shared" si="0"/>
        <v>6165691.5481514959</v>
      </c>
      <c r="J23" s="29">
        <f t="shared" si="1"/>
        <v>0</v>
      </c>
      <c r="K23" s="29">
        <f t="shared" si="2"/>
        <v>6165691.5481514959</v>
      </c>
      <c r="L23" s="29">
        <f t="shared" si="10"/>
        <v>6941224.6730644638</v>
      </c>
      <c r="M23" s="29">
        <f>L23*((1+'1. Inputs'!$C$17)^((C23-C22)/365)-1)</f>
        <v>95073.127608900511</v>
      </c>
      <c r="N23" s="29">
        <f t="shared" si="3"/>
        <v>7036297.8006733647</v>
      </c>
      <c r="O23" s="29">
        <f t="shared" si="4"/>
        <v>7036297.8006733647</v>
      </c>
      <c r="P23" s="29">
        <f>MIN(MAX(0,F23-J23),IF('1. Inputs'!$C$19=0,0,O23/'1. Inputs'!$C$19))</f>
        <v>0</v>
      </c>
      <c r="Q23" s="29">
        <f>P23*'1. Inputs'!$C$19</f>
        <v>0</v>
      </c>
      <c r="R23" s="29">
        <f>P23*'1. Inputs'!$C$20</f>
        <v>0</v>
      </c>
      <c r="S23" s="29">
        <f t="shared" si="5"/>
        <v>7036297.8006733647</v>
      </c>
      <c r="T23" s="29">
        <f t="shared" si="6"/>
        <v>0</v>
      </c>
      <c r="U23" s="29">
        <f>T23*'1. Inputs'!$C$22</f>
        <v>0</v>
      </c>
      <c r="V23" s="29">
        <f>T23*'1. Inputs'!$C$23</f>
        <v>0</v>
      </c>
      <c r="W23" s="29">
        <f>D23*'1. Inputs'!$C$27+R23+V23</f>
        <v>0</v>
      </c>
      <c r="X23" s="29">
        <f t="shared" si="7"/>
        <v>0</v>
      </c>
      <c r="Y23" s="29">
        <f>(J23+Q23+U23)*'1. Inputs'!$D$29/('1. Inputs'!$D$29+'1. Inputs'!$D$30)</f>
        <v>0</v>
      </c>
      <c r="Z23" s="29">
        <f>(J23+Q23+U23)*'1. Inputs'!$D$30/('1. Inputs'!$D$29+'1. Inputs'!$D$30)</f>
        <v>0</v>
      </c>
      <c r="AA23" s="7">
        <f t="shared" si="8"/>
        <v>0</v>
      </c>
      <c r="AB23" s="29">
        <f t="shared" si="11"/>
        <v>0</v>
      </c>
      <c r="AC23" s="29">
        <f t="shared" si="12"/>
        <v>0</v>
      </c>
      <c r="AD23" s="29">
        <f t="shared" si="13"/>
        <v>0</v>
      </c>
      <c r="AE23" s="29">
        <f t="shared" si="14"/>
        <v>0</v>
      </c>
    </row>
    <row r="24" spans="2:31" x14ac:dyDescent="0.3">
      <c r="B24" s="15">
        <f>'2. Monthly CF'!B24</f>
        <v>19</v>
      </c>
      <c r="C24" s="20">
        <f>'2. Monthly CF'!C24</f>
        <v>45657</v>
      </c>
      <c r="D24" s="28">
        <f>MAX(0,'2. Monthly CF'!D24)</f>
        <v>0</v>
      </c>
      <c r="E24" s="29">
        <f>D24*'1. Inputs'!$C$28</f>
        <v>0</v>
      </c>
      <c r="F24" s="29">
        <v>0</v>
      </c>
      <c r="G24" s="29">
        <f t="shared" si="9"/>
        <v>6165691.5481514959</v>
      </c>
      <c r="H24" s="29">
        <f>G24*((1+'1. Inputs'!$C$16)^((C24-C23)/365)-1)</f>
        <v>45293.493339645407</v>
      </c>
      <c r="I24" s="29">
        <f t="shared" si="0"/>
        <v>6210985.0414911415</v>
      </c>
      <c r="J24" s="29">
        <f t="shared" si="1"/>
        <v>0</v>
      </c>
      <c r="K24" s="29">
        <f t="shared" si="2"/>
        <v>6210985.0414911415</v>
      </c>
      <c r="L24" s="29">
        <f t="shared" si="10"/>
        <v>7036297.8006733647</v>
      </c>
      <c r="M24" s="29">
        <f>L24*((1+'1. Inputs'!$C$17)^((C24-C23)/365)-1)</f>
        <v>99610.478393366357</v>
      </c>
      <c r="N24" s="29">
        <f t="shared" si="3"/>
        <v>7135908.2790667312</v>
      </c>
      <c r="O24" s="29">
        <f t="shared" si="4"/>
        <v>7135908.2790667312</v>
      </c>
      <c r="P24" s="29">
        <f>MIN(MAX(0,F24-J24),IF('1. Inputs'!$C$19=0,0,O24/'1. Inputs'!$C$19))</f>
        <v>0</v>
      </c>
      <c r="Q24" s="29">
        <f>P24*'1. Inputs'!$C$19</f>
        <v>0</v>
      </c>
      <c r="R24" s="29">
        <f>P24*'1. Inputs'!$C$20</f>
        <v>0</v>
      </c>
      <c r="S24" s="29">
        <f t="shared" si="5"/>
        <v>7135908.2790667312</v>
      </c>
      <c r="T24" s="29">
        <f t="shared" si="6"/>
        <v>0</v>
      </c>
      <c r="U24" s="29">
        <f>T24*'1. Inputs'!$C$22</f>
        <v>0</v>
      </c>
      <c r="V24" s="29">
        <f>T24*'1. Inputs'!$C$23</f>
        <v>0</v>
      </c>
      <c r="W24" s="29">
        <f>D24*'1. Inputs'!$C$27+R24+V24</f>
        <v>0</v>
      </c>
      <c r="X24" s="29">
        <f t="shared" si="7"/>
        <v>0</v>
      </c>
      <c r="Y24" s="29">
        <f>(J24+Q24+U24)*'1. Inputs'!$D$29/('1. Inputs'!$D$29+'1. Inputs'!$D$30)</f>
        <v>0</v>
      </c>
      <c r="Z24" s="29">
        <f>(J24+Q24+U24)*'1. Inputs'!$D$30/('1. Inputs'!$D$29+'1. Inputs'!$D$30)</f>
        <v>0</v>
      </c>
      <c r="AA24" s="7">
        <f t="shared" si="8"/>
        <v>0</v>
      </c>
      <c r="AB24" s="29">
        <f t="shared" si="11"/>
        <v>0</v>
      </c>
      <c r="AC24" s="29">
        <f t="shared" si="12"/>
        <v>0</v>
      </c>
      <c r="AD24" s="29">
        <f t="shared" si="13"/>
        <v>0</v>
      </c>
      <c r="AE24" s="29">
        <f t="shared" si="14"/>
        <v>0</v>
      </c>
    </row>
    <row r="25" spans="2:31" x14ac:dyDescent="0.3">
      <c r="B25" s="15">
        <f>'2. Monthly CF'!B25</f>
        <v>20</v>
      </c>
      <c r="C25" s="20">
        <f>'2. Monthly CF'!C25</f>
        <v>45688</v>
      </c>
      <c r="D25" s="28">
        <f>MAX(0,'2. Monthly CF'!D25)</f>
        <v>250000</v>
      </c>
      <c r="E25" s="29">
        <f>D25*'1. Inputs'!$C$28</f>
        <v>12500</v>
      </c>
      <c r="F25" s="29">
        <v>237475</v>
      </c>
      <c r="G25" s="29">
        <f t="shared" si="9"/>
        <v>6210985.0414911415</v>
      </c>
      <c r="H25" s="29">
        <f>G25*((1+'1. Inputs'!$C$16)^((C25-C24)/365)-1)</f>
        <v>45626.221716160377</v>
      </c>
      <c r="I25" s="29">
        <f t="shared" si="0"/>
        <v>6256611.2632073015</v>
      </c>
      <c r="J25" s="29">
        <f t="shared" si="1"/>
        <v>237475</v>
      </c>
      <c r="K25" s="29">
        <f t="shared" si="2"/>
        <v>6019136.2632073015</v>
      </c>
      <c r="L25" s="29">
        <f t="shared" si="10"/>
        <v>7135908.2790667312</v>
      </c>
      <c r="M25" s="29">
        <f>L25*((1+'1. Inputs'!$C$17)^((C25-C24)/365)-1)</f>
        <v>101020.63010763942</v>
      </c>
      <c r="N25" s="29">
        <f t="shared" si="3"/>
        <v>7236928.9091743706</v>
      </c>
      <c r="O25" s="29">
        <f t="shared" si="4"/>
        <v>6999453.9091743706</v>
      </c>
      <c r="P25" s="29">
        <f>MIN(MAX(0,F25-J25),IF('1. Inputs'!$C$19=0,0,O25/'1. Inputs'!$C$19))</f>
        <v>0</v>
      </c>
      <c r="Q25" s="29">
        <f>P25*'1. Inputs'!$C$19</f>
        <v>0</v>
      </c>
      <c r="R25" s="29">
        <f>P25*'1. Inputs'!$C$20</f>
        <v>0</v>
      </c>
      <c r="S25" s="29">
        <f t="shared" si="5"/>
        <v>6999453.9091743706</v>
      </c>
      <c r="T25" s="29">
        <f t="shared" si="6"/>
        <v>0</v>
      </c>
      <c r="U25" s="29">
        <f>T25*'1. Inputs'!$C$22</f>
        <v>0</v>
      </c>
      <c r="V25" s="29">
        <f>T25*'1. Inputs'!$C$23</f>
        <v>0</v>
      </c>
      <c r="W25" s="29">
        <f>D25*'1. Inputs'!$C$27+R25+V25</f>
        <v>25</v>
      </c>
      <c r="X25" s="29">
        <f t="shared" si="7"/>
        <v>12500</v>
      </c>
      <c r="Y25" s="29">
        <f>(J25+Q25+U25)*'1. Inputs'!$D$29/('1. Inputs'!$D$29+'1. Inputs'!$D$30)</f>
        <v>48775</v>
      </c>
      <c r="Z25" s="29">
        <f>(J25+Q25+U25)*'1. Inputs'!$D$30/('1. Inputs'!$D$29+'1. Inputs'!$D$30)</f>
        <v>188700</v>
      </c>
      <c r="AA25" s="7">
        <f t="shared" si="8"/>
        <v>0</v>
      </c>
      <c r="AB25" s="29">
        <f t="shared" si="11"/>
        <v>25</v>
      </c>
      <c r="AC25" s="29">
        <f t="shared" si="12"/>
        <v>12500</v>
      </c>
      <c r="AD25" s="29">
        <f t="shared" si="13"/>
        <v>48775</v>
      </c>
      <c r="AE25" s="29">
        <f t="shared" si="14"/>
        <v>188700</v>
      </c>
    </row>
    <row r="26" spans="2:31" x14ac:dyDescent="0.3">
      <c r="B26" s="15">
        <f>'2. Monthly CF'!B26</f>
        <v>21</v>
      </c>
      <c r="C26" s="20">
        <f>'2. Monthly CF'!C26</f>
        <v>45716</v>
      </c>
      <c r="D26" s="28">
        <f>MAX(0,'2. Monthly CF'!D26)</f>
        <v>0</v>
      </c>
      <c r="E26" s="29">
        <f>D26*'1. Inputs'!$C$28</f>
        <v>0</v>
      </c>
      <c r="F26" s="29">
        <v>0</v>
      </c>
      <c r="G26" s="29">
        <f t="shared" si="9"/>
        <v>6019136.2632073015</v>
      </c>
      <c r="H26" s="29">
        <f>G26*((1+'1. Inputs'!$C$16)^((C26-C25)/365)-1)</f>
        <v>39923.678520742666</v>
      </c>
      <c r="I26" s="29">
        <f t="shared" si="0"/>
        <v>6059059.9417280443</v>
      </c>
      <c r="J26" s="29">
        <f t="shared" si="1"/>
        <v>0</v>
      </c>
      <c r="K26" s="29">
        <f t="shared" si="2"/>
        <v>6059059.9417280443</v>
      </c>
      <c r="L26" s="29">
        <f t="shared" si="10"/>
        <v>6999453.9091743706</v>
      </c>
      <c r="M26" s="29">
        <f>L26*((1+'1. Inputs'!$C$17)^((C26-C25)/365)-1)</f>
        <v>89438.652062791109</v>
      </c>
      <c r="N26" s="29">
        <f t="shared" si="3"/>
        <v>7088892.561237162</v>
      </c>
      <c r="O26" s="29">
        <f t="shared" si="4"/>
        <v>7088892.561237162</v>
      </c>
      <c r="P26" s="29">
        <f>MIN(MAX(0,F26-J26),IF('1. Inputs'!$C$19=0,0,O26/'1. Inputs'!$C$19))</f>
        <v>0</v>
      </c>
      <c r="Q26" s="29">
        <f>P26*'1. Inputs'!$C$19</f>
        <v>0</v>
      </c>
      <c r="R26" s="29">
        <f>P26*'1. Inputs'!$C$20</f>
        <v>0</v>
      </c>
      <c r="S26" s="29">
        <f t="shared" si="5"/>
        <v>7088892.561237162</v>
      </c>
      <c r="T26" s="29">
        <f t="shared" si="6"/>
        <v>0</v>
      </c>
      <c r="U26" s="29">
        <f>T26*'1. Inputs'!$C$22</f>
        <v>0</v>
      </c>
      <c r="V26" s="29">
        <f>T26*'1. Inputs'!$C$23</f>
        <v>0</v>
      </c>
      <c r="W26" s="29">
        <f>D26*'1. Inputs'!$C$27+R26+V26</f>
        <v>0</v>
      </c>
      <c r="X26" s="29">
        <f t="shared" si="7"/>
        <v>0</v>
      </c>
      <c r="Y26" s="29">
        <f>(J26+Q26+U26)*'1. Inputs'!$D$29/('1. Inputs'!$D$29+'1. Inputs'!$D$30)</f>
        <v>0</v>
      </c>
      <c r="Z26" s="29">
        <f>(J26+Q26+U26)*'1. Inputs'!$D$30/('1. Inputs'!$D$29+'1. Inputs'!$D$30)</f>
        <v>0</v>
      </c>
      <c r="AA26" s="7">
        <f t="shared" si="8"/>
        <v>0</v>
      </c>
      <c r="AB26" s="29">
        <f t="shared" si="11"/>
        <v>0</v>
      </c>
      <c r="AC26" s="29">
        <f t="shared" si="12"/>
        <v>0</v>
      </c>
      <c r="AD26" s="29">
        <f t="shared" si="13"/>
        <v>0</v>
      </c>
      <c r="AE26" s="29">
        <f t="shared" si="14"/>
        <v>0</v>
      </c>
    </row>
    <row r="27" spans="2:31" x14ac:dyDescent="0.3">
      <c r="B27" s="15">
        <f>'2. Monthly CF'!B27</f>
        <v>22</v>
      </c>
      <c r="C27" s="20">
        <f>'2. Monthly CF'!C27</f>
        <v>45747</v>
      </c>
      <c r="D27" s="28">
        <f>MAX(0,'2. Monthly CF'!D27)</f>
        <v>0</v>
      </c>
      <c r="E27" s="29">
        <f>D27*'1. Inputs'!$C$28</f>
        <v>0</v>
      </c>
      <c r="F27" s="29">
        <v>0</v>
      </c>
      <c r="G27" s="29">
        <f t="shared" si="9"/>
        <v>6059059.9417280443</v>
      </c>
      <c r="H27" s="29">
        <f>G27*((1+'1. Inputs'!$C$16)^((C27-C26)/365)-1)</f>
        <v>44510.171968860283</v>
      </c>
      <c r="I27" s="29">
        <f t="shared" si="0"/>
        <v>6103570.1136969049</v>
      </c>
      <c r="J27" s="29">
        <f t="shared" si="1"/>
        <v>0</v>
      </c>
      <c r="K27" s="29">
        <f t="shared" si="2"/>
        <v>6103570.1136969049</v>
      </c>
      <c r="L27" s="29">
        <f t="shared" si="10"/>
        <v>7088892.561237162</v>
      </c>
      <c r="M27" s="29">
        <f>L27*((1+'1. Inputs'!$C$17)^((C27-C26)/365)-1)</f>
        <v>100355.04455715821</v>
      </c>
      <c r="N27" s="29">
        <f t="shared" si="3"/>
        <v>7189247.6057943199</v>
      </c>
      <c r="O27" s="29">
        <f t="shared" si="4"/>
        <v>7189247.6057943199</v>
      </c>
      <c r="P27" s="29">
        <f>MIN(MAX(0,F27-J27),IF('1. Inputs'!$C$19=0,0,O27/'1. Inputs'!$C$19))</f>
        <v>0</v>
      </c>
      <c r="Q27" s="29">
        <f>P27*'1. Inputs'!$C$19</f>
        <v>0</v>
      </c>
      <c r="R27" s="29">
        <f>P27*'1. Inputs'!$C$20</f>
        <v>0</v>
      </c>
      <c r="S27" s="29">
        <f t="shared" si="5"/>
        <v>7189247.6057943199</v>
      </c>
      <c r="T27" s="29">
        <f t="shared" si="6"/>
        <v>0</v>
      </c>
      <c r="U27" s="29">
        <f>T27*'1. Inputs'!$C$22</f>
        <v>0</v>
      </c>
      <c r="V27" s="29">
        <f>T27*'1. Inputs'!$C$23</f>
        <v>0</v>
      </c>
      <c r="W27" s="29">
        <f>D27*'1. Inputs'!$C$27+R27+V27</f>
        <v>0</v>
      </c>
      <c r="X27" s="29">
        <f t="shared" si="7"/>
        <v>0</v>
      </c>
      <c r="Y27" s="29">
        <f>(J27+Q27+U27)*'1. Inputs'!$D$29/('1. Inputs'!$D$29+'1. Inputs'!$D$30)</f>
        <v>0</v>
      </c>
      <c r="Z27" s="29">
        <f>(J27+Q27+U27)*'1. Inputs'!$D$30/('1. Inputs'!$D$29+'1. Inputs'!$D$30)</f>
        <v>0</v>
      </c>
      <c r="AA27" s="7">
        <f t="shared" si="8"/>
        <v>0</v>
      </c>
      <c r="AB27" s="29">
        <f t="shared" si="11"/>
        <v>0</v>
      </c>
      <c r="AC27" s="29">
        <f t="shared" si="12"/>
        <v>0</v>
      </c>
      <c r="AD27" s="29">
        <f t="shared" si="13"/>
        <v>0</v>
      </c>
      <c r="AE27" s="29">
        <f t="shared" si="14"/>
        <v>0</v>
      </c>
    </row>
    <row r="28" spans="2:31" x14ac:dyDescent="0.3">
      <c r="B28" s="15">
        <f>'2. Monthly CF'!B28</f>
        <v>23</v>
      </c>
      <c r="C28" s="20">
        <f>'2. Monthly CF'!C28</f>
        <v>45777</v>
      </c>
      <c r="D28" s="28">
        <f>MAX(0,'2. Monthly CF'!D28)</f>
        <v>350000</v>
      </c>
      <c r="E28" s="29">
        <f>D28*'1. Inputs'!$C$28</f>
        <v>17500</v>
      </c>
      <c r="F28" s="29">
        <v>332465</v>
      </c>
      <c r="G28" s="29">
        <f t="shared" si="9"/>
        <v>6103570.1136969049</v>
      </c>
      <c r="H28" s="29">
        <f>G28*((1+'1. Inputs'!$C$16)^((C28-C27)/365)-1)</f>
        <v>43385.658278128831</v>
      </c>
      <c r="I28" s="29">
        <f t="shared" si="0"/>
        <v>6146955.7719750339</v>
      </c>
      <c r="J28" s="29">
        <f t="shared" si="1"/>
        <v>332465</v>
      </c>
      <c r="K28" s="29">
        <f t="shared" si="2"/>
        <v>5814490.7719750339</v>
      </c>
      <c r="L28" s="29">
        <f t="shared" si="10"/>
        <v>7189247.6057943199</v>
      </c>
      <c r="M28" s="29">
        <f>L28*((1+'1. Inputs'!$C$17)^((C28-C27)/365)-1)</f>
        <v>98470.268177604928</v>
      </c>
      <c r="N28" s="29">
        <f t="shared" si="3"/>
        <v>7287717.8739719251</v>
      </c>
      <c r="O28" s="29">
        <f t="shared" si="4"/>
        <v>6955252.8739719251</v>
      </c>
      <c r="P28" s="29">
        <f>MIN(MAX(0,F28-J28),IF('1. Inputs'!$C$19=0,0,O28/'1. Inputs'!$C$19))</f>
        <v>0</v>
      </c>
      <c r="Q28" s="29">
        <f>P28*'1. Inputs'!$C$19</f>
        <v>0</v>
      </c>
      <c r="R28" s="29">
        <f>P28*'1. Inputs'!$C$20</f>
        <v>0</v>
      </c>
      <c r="S28" s="29">
        <f t="shared" si="5"/>
        <v>6955252.8739719251</v>
      </c>
      <c r="T28" s="29">
        <f t="shared" si="6"/>
        <v>0</v>
      </c>
      <c r="U28" s="29">
        <f>T28*'1. Inputs'!$C$22</f>
        <v>0</v>
      </c>
      <c r="V28" s="29">
        <f>T28*'1. Inputs'!$C$23</f>
        <v>0</v>
      </c>
      <c r="W28" s="29">
        <f>D28*'1. Inputs'!$C$27+R28+V28</f>
        <v>35</v>
      </c>
      <c r="X28" s="29">
        <f t="shared" si="7"/>
        <v>17500</v>
      </c>
      <c r="Y28" s="29">
        <f>(J28+Q28+U28)*'1. Inputs'!$D$29/('1. Inputs'!$D$29+'1. Inputs'!$D$30)</f>
        <v>68285</v>
      </c>
      <c r="Z28" s="29">
        <f>(J28+Q28+U28)*'1. Inputs'!$D$30/('1. Inputs'!$D$29+'1. Inputs'!$D$30)</f>
        <v>264180</v>
      </c>
      <c r="AA28" s="7">
        <f t="shared" si="8"/>
        <v>0</v>
      </c>
      <c r="AB28" s="29">
        <f t="shared" si="11"/>
        <v>35</v>
      </c>
      <c r="AC28" s="29">
        <f t="shared" si="12"/>
        <v>17500</v>
      </c>
      <c r="AD28" s="29">
        <f t="shared" si="13"/>
        <v>68285</v>
      </c>
      <c r="AE28" s="29">
        <f t="shared" si="14"/>
        <v>264180</v>
      </c>
    </row>
    <row r="29" spans="2:31" x14ac:dyDescent="0.3">
      <c r="B29" s="15">
        <f>'2. Monthly CF'!B29</f>
        <v>24</v>
      </c>
      <c r="C29" s="20">
        <f>'2. Monthly CF'!C29</f>
        <v>45808</v>
      </c>
      <c r="D29" s="28">
        <f>MAX(0,'2. Monthly CF'!D29)</f>
        <v>0</v>
      </c>
      <c r="E29" s="29">
        <f>D29*'1. Inputs'!$C$28</f>
        <v>0</v>
      </c>
      <c r="F29" s="29">
        <v>0</v>
      </c>
      <c r="G29" s="29">
        <f t="shared" si="9"/>
        <v>5814490.7719750339</v>
      </c>
      <c r="H29" s="29">
        <f>G29*((1+'1. Inputs'!$C$16)^((C29-C28)/365)-1)</f>
        <v>42713.554026690981</v>
      </c>
      <c r="I29" s="29">
        <f t="shared" si="0"/>
        <v>5857204.3260017252</v>
      </c>
      <c r="J29" s="29">
        <f t="shared" si="1"/>
        <v>0</v>
      </c>
      <c r="K29" s="29">
        <f t="shared" si="2"/>
        <v>5857204.3260017252</v>
      </c>
      <c r="L29" s="29">
        <f t="shared" si="10"/>
        <v>6955252.8739719251</v>
      </c>
      <c r="M29" s="29">
        <f>L29*((1+'1. Inputs'!$C$17)^((C29-C28)/365)-1)</f>
        <v>98463.152889418372</v>
      </c>
      <c r="N29" s="29">
        <f t="shared" si="3"/>
        <v>7053716.0268613435</v>
      </c>
      <c r="O29" s="29">
        <f t="shared" si="4"/>
        <v>7053716.0268613435</v>
      </c>
      <c r="P29" s="29">
        <f>MIN(MAX(0,F29-J29),IF('1. Inputs'!$C$19=0,0,O29/'1. Inputs'!$C$19))</f>
        <v>0</v>
      </c>
      <c r="Q29" s="29">
        <f>P29*'1. Inputs'!$C$19</f>
        <v>0</v>
      </c>
      <c r="R29" s="29">
        <f>P29*'1. Inputs'!$C$20</f>
        <v>0</v>
      </c>
      <c r="S29" s="29">
        <f t="shared" si="5"/>
        <v>7053716.0268613435</v>
      </c>
      <c r="T29" s="29">
        <f t="shared" si="6"/>
        <v>0</v>
      </c>
      <c r="U29" s="29">
        <f>T29*'1. Inputs'!$C$22</f>
        <v>0</v>
      </c>
      <c r="V29" s="29">
        <f>T29*'1. Inputs'!$C$23</f>
        <v>0</v>
      </c>
      <c r="W29" s="29">
        <f>D29*'1. Inputs'!$C$27+R29+V29</f>
        <v>0</v>
      </c>
      <c r="X29" s="29">
        <f t="shared" si="7"/>
        <v>0</v>
      </c>
      <c r="Y29" s="29">
        <f>(J29+Q29+U29)*'1. Inputs'!$D$29/('1. Inputs'!$D$29+'1. Inputs'!$D$30)</f>
        <v>0</v>
      </c>
      <c r="Z29" s="29">
        <f>(J29+Q29+U29)*'1. Inputs'!$D$30/('1. Inputs'!$D$29+'1. Inputs'!$D$30)</f>
        <v>0</v>
      </c>
      <c r="AA29" s="7">
        <f t="shared" si="8"/>
        <v>0</v>
      </c>
      <c r="AB29" s="29">
        <f t="shared" si="11"/>
        <v>0</v>
      </c>
      <c r="AC29" s="29">
        <f t="shared" si="12"/>
        <v>0</v>
      </c>
      <c r="AD29" s="29">
        <f t="shared" si="13"/>
        <v>0</v>
      </c>
      <c r="AE29" s="29">
        <f t="shared" si="14"/>
        <v>0</v>
      </c>
    </row>
    <row r="30" spans="2:31" x14ac:dyDescent="0.3">
      <c r="B30" s="15">
        <f>'2. Monthly CF'!B30</f>
        <v>25</v>
      </c>
      <c r="C30" s="20">
        <f>'2. Monthly CF'!C30</f>
        <v>45838</v>
      </c>
      <c r="D30" s="28">
        <f>MAX(0,'2. Monthly CF'!D30)</f>
        <v>0</v>
      </c>
      <c r="E30" s="29">
        <f>D30*'1. Inputs'!$C$28</f>
        <v>0</v>
      </c>
      <c r="F30" s="29">
        <v>0</v>
      </c>
      <c r="G30" s="29">
        <f t="shared" si="9"/>
        <v>5857204.3260017252</v>
      </c>
      <c r="H30" s="29">
        <f>G30*((1+'1. Inputs'!$C$16)^((C30-C29)/365)-1)</f>
        <v>41634.430443065758</v>
      </c>
      <c r="I30" s="29">
        <f t="shared" si="0"/>
        <v>5898838.7564447913</v>
      </c>
      <c r="J30" s="29">
        <f t="shared" si="1"/>
        <v>0</v>
      </c>
      <c r="K30" s="29">
        <f t="shared" si="2"/>
        <v>5898838.7564447913</v>
      </c>
      <c r="L30" s="29">
        <f t="shared" si="10"/>
        <v>7053716.0268613435</v>
      </c>
      <c r="M30" s="29">
        <f>L30*((1+'1. Inputs'!$C$17)^((C30-C29)/365)-1)</f>
        <v>96613.908283516983</v>
      </c>
      <c r="N30" s="29">
        <f t="shared" si="3"/>
        <v>7150329.9351448603</v>
      </c>
      <c r="O30" s="29">
        <f t="shared" si="4"/>
        <v>7150329.9351448603</v>
      </c>
      <c r="P30" s="29">
        <f>MIN(MAX(0,F30-J30),IF('1. Inputs'!$C$19=0,0,O30/'1. Inputs'!$C$19))</f>
        <v>0</v>
      </c>
      <c r="Q30" s="29">
        <f>P30*'1. Inputs'!$C$19</f>
        <v>0</v>
      </c>
      <c r="R30" s="29">
        <f>P30*'1. Inputs'!$C$20</f>
        <v>0</v>
      </c>
      <c r="S30" s="29">
        <f t="shared" si="5"/>
        <v>7150329.9351448603</v>
      </c>
      <c r="T30" s="29">
        <f t="shared" si="6"/>
        <v>0</v>
      </c>
      <c r="U30" s="29">
        <f>T30*'1. Inputs'!$C$22</f>
        <v>0</v>
      </c>
      <c r="V30" s="29">
        <f>T30*'1. Inputs'!$C$23</f>
        <v>0</v>
      </c>
      <c r="W30" s="29">
        <f>D30*'1. Inputs'!$C$27+R30+V30</f>
        <v>0</v>
      </c>
      <c r="X30" s="29">
        <f t="shared" si="7"/>
        <v>0</v>
      </c>
      <c r="Y30" s="29">
        <f>(J30+Q30+U30)*'1. Inputs'!$D$29/('1. Inputs'!$D$29+'1. Inputs'!$D$30)</f>
        <v>0</v>
      </c>
      <c r="Z30" s="29">
        <f>(J30+Q30+U30)*'1. Inputs'!$D$30/('1. Inputs'!$D$29+'1. Inputs'!$D$30)</f>
        <v>0</v>
      </c>
      <c r="AA30" s="7">
        <f t="shared" si="8"/>
        <v>0</v>
      </c>
      <c r="AB30" s="29">
        <f t="shared" si="11"/>
        <v>0</v>
      </c>
      <c r="AC30" s="29">
        <f t="shared" si="12"/>
        <v>0</v>
      </c>
      <c r="AD30" s="29">
        <f t="shared" si="13"/>
        <v>0</v>
      </c>
      <c r="AE30" s="29">
        <f t="shared" si="14"/>
        <v>0</v>
      </c>
    </row>
    <row r="31" spans="2:31" x14ac:dyDescent="0.3">
      <c r="B31" s="15">
        <f>'2. Monthly CF'!B31</f>
        <v>26</v>
      </c>
      <c r="C31" s="20">
        <f>'2. Monthly CF'!C31</f>
        <v>45869</v>
      </c>
      <c r="D31" s="28">
        <f>MAX(0,'2. Monthly CF'!D31)</f>
        <v>300000</v>
      </c>
      <c r="E31" s="29">
        <f>D31*'1. Inputs'!$C$28</f>
        <v>15000</v>
      </c>
      <c r="F31" s="29">
        <v>284970</v>
      </c>
      <c r="G31" s="29">
        <f t="shared" si="9"/>
        <v>5898838.7564447913</v>
      </c>
      <c r="H31" s="29">
        <f>G31*((1+'1. Inputs'!$C$16)^((C31-C30)/365)-1)</f>
        <v>43333.178742419557</v>
      </c>
      <c r="I31" s="29">
        <f t="shared" si="0"/>
        <v>5942171.9351872113</v>
      </c>
      <c r="J31" s="29">
        <f t="shared" si="1"/>
        <v>284970</v>
      </c>
      <c r="K31" s="29">
        <f t="shared" si="2"/>
        <v>5657201.9351872113</v>
      </c>
      <c r="L31" s="29">
        <f t="shared" si="10"/>
        <v>7150329.9351448603</v>
      </c>
      <c r="M31" s="29">
        <f>L31*((1+'1. Inputs'!$C$17)^((C31-C30)/365)-1)</f>
        <v>101224.79259505284</v>
      </c>
      <c r="N31" s="29">
        <f t="shared" si="3"/>
        <v>7251554.7277399134</v>
      </c>
      <c r="O31" s="29">
        <f t="shared" si="4"/>
        <v>6966584.7277399134</v>
      </c>
      <c r="P31" s="29">
        <f>MIN(MAX(0,F31-J31),IF('1. Inputs'!$C$19=0,0,O31/'1. Inputs'!$C$19))</f>
        <v>0</v>
      </c>
      <c r="Q31" s="29">
        <f>P31*'1. Inputs'!$C$19</f>
        <v>0</v>
      </c>
      <c r="R31" s="29">
        <f>P31*'1. Inputs'!$C$20</f>
        <v>0</v>
      </c>
      <c r="S31" s="29">
        <f t="shared" si="5"/>
        <v>6966584.7277399134</v>
      </c>
      <c r="T31" s="29">
        <f t="shared" si="6"/>
        <v>0</v>
      </c>
      <c r="U31" s="29">
        <f>T31*'1. Inputs'!$C$22</f>
        <v>0</v>
      </c>
      <c r="V31" s="29">
        <f>T31*'1. Inputs'!$C$23</f>
        <v>0</v>
      </c>
      <c r="W31" s="29">
        <f>D31*'1. Inputs'!$C$27+R31+V31</f>
        <v>30</v>
      </c>
      <c r="X31" s="29">
        <f t="shared" si="7"/>
        <v>15000</v>
      </c>
      <c r="Y31" s="29">
        <f>(J31+Q31+U31)*'1. Inputs'!$D$29/('1. Inputs'!$D$29+'1. Inputs'!$D$30)</f>
        <v>58530</v>
      </c>
      <c r="Z31" s="29">
        <f>(J31+Q31+U31)*'1. Inputs'!$D$30/('1. Inputs'!$D$29+'1. Inputs'!$D$30)</f>
        <v>226440</v>
      </c>
      <c r="AA31" s="7">
        <f t="shared" si="8"/>
        <v>0</v>
      </c>
      <c r="AB31" s="29">
        <f t="shared" si="11"/>
        <v>30</v>
      </c>
      <c r="AC31" s="29">
        <f t="shared" si="12"/>
        <v>15000</v>
      </c>
      <c r="AD31" s="29">
        <f t="shared" si="13"/>
        <v>58530</v>
      </c>
      <c r="AE31" s="29">
        <f t="shared" si="14"/>
        <v>226440</v>
      </c>
    </row>
    <row r="32" spans="2:31" x14ac:dyDescent="0.3">
      <c r="B32" s="15">
        <f>'2. Monthly CF'!B32</f>
        <v>27</v>
      </c>
      <c r="C32" s="20">
        <f>'2. Monthly CF'!C32</f>
        <v>45900</v>
      </c>
      <c r="D32" s="28">
        <f>MAX(0,'2. Monthly CF'!D32)</f>
        <v>0</v>
      </c>
      <c r="E32" s="29">
        <f>D32*'1. Inputs'!$C$28</f>
        <v>0</v>
      </c>
      <c r="F32" s="29">
        <v>0</v>
      </c>
      <c r="G32" s="29">
        <f t="shared" si="9"/>
        <v>5657201.9351872113</v>
      </c>
      <c r="H32" s="29">
        <f>G32*((1+'1. Inputs'!$C$16)^((C32-C31)/365)-1)</f>
        <v>41558.101986021567</v>
      </c>
      <c r="I32" s="29">
        <f t="shared" si="0"/>
        <v>5698760.037173233</v>
      </c>
      <c r="J32" s="29">
        <f t="shared" si="1"/>
        <v>0</v>
      </c>
      <c r="K32" s="29">
        <f t="shared" si="2"/>
        <v>5698760.037173233</v>
      </c>
      <c r="L32" s="29">
        <f t="shared" si="10"/>
        <v>6966584.7277399134</v>
      </c>
      <c r="M32" s="29">
        <f>L32*((1+'1. Inputs'!$C$17)^((C32-C31)/365)-1)</f>
        <v>98623.574094843323</v>
      </c>
      <c r="N32" s="29">
        <f t="shared" si="3"/>
        <v>7065208.3018347565</v>
      </c>
      <c r="O32" s="29">
        <f t="shared" si="4"/>
        <v>7065208.3018347565</v>
      </c>
      <c r="P32" s="29">
        <f>MIN(MAX(0,F32-J32),IF('1. Inputs'!$C$19=0,0,O32/'1. Inputs'!$C$19))</f>
        <v>0</v>
      </c>
      <c r="Q32" s="29">
        <f>P32*'1. Inputs'!$C$19</f>
        <v>0</v>
      </c>
      <c r="R32" s="29">
        <f>P32*'1. Inputs'!$C$20</f>
        <v>0</v>
      </c>
      <c r="S32" s="29">
        <f t="shared" si="5"/>
        <v>7065208.3018347565</v>
      </c>
      <c r="T32" s="29">
        <f t="shared" si="6"/>
        <v>0</v>
      </c>
      <c r="U32" s="29">
        <f>T32*'1. Inputs'!$C$22</f>
        <v>0</v>
      </c>
      <c r="V32" s="29">
        <f>T32*'1. Inputs'!$C$23</f>
        <v>0</v>
      </c>
      <c r="W32" s="29">
        <f>D32*'1. Inputs'!$C$27+R32+V32</f>
        <v>0</v>
      </c>
      <c r="X32" s="29">
        <f t="shared" si="7"/>
        <v>0</v>
      </c>
      <c r="Y32" s="29">
        <f>(J32+Q32+U32)*'1. Inputs'!$D$29/('1. Inputs'!$D$29+'1. Inputs'!$D$30)</f>
        <v>0</v>
      </c>
      <c r="Z32" s="29">
        <f>(J32+Q32+U32)*'1. Inputs'!$D$30/('1. Inputs'!$D$29+'1. Inputs'!$D$30)</f>
        <v>0</v>
      </c>
      <c r="AA32" s="7">
        <f t="shared" si="8"/>
        <v>0</v>
      </c>
      <c r="AB32" s="29">
        <f t="shared" si="11"/>
        <v>0</v>
      </c>
      <c r="AC32" s="29">
        <f t="shared" si="12"/>
        <v>0</v>
      </c>
      <c r="AD32" s="29">
        <f t="shared" si="13"/>
        <v>0</v>
      </c>
      <c r="AE32" s="29">
        <f t="shared" si="14"/>
        <v>0</v>
      </c>
    </row>
    <row r="33" spans="2:31" x14ac:dyDescent="0.3">
      <c r="B33" s="15">
        <f>'2. Monthly CF'!B33</f>
        <v>28</v>
      </c>
      <c r="C33" s="20">
        <f>'2. Monthly CF'!C33</f>
        <v>45930</v>
      </c>
      <c r="D33" s="28">
        <f>MAX(0,'2. Monthly CF'!D33)</f>
        <v>0</v>
      </c>
      <c r="E33" s="29">
        <f>D33*'1. Inputs'!$C$28</f>
        <v>0</v>
      </c>
      <c r="F33" s="29">
        <v>0</v>
      </c>
      <c r="G33" s="29">
        <f t="shared" si="9"/>
        <v>5698760.037173233</v>
      </c>
      <c r="H33" s="29">
        <f>G33*((1+'1. Inputs'!$C$16)^((C33-C32)/365)-1)</f>
        <v>40508.16996875617</v>
      </c>
      <c r="I33" s="29">
        <f t="shared" si="0"/>
        <v>5739268.2071419889</v>
      </c>
      <c r="J33" s="29">
        <f t="shared" si="1"/>
        <v>0</v>
      </c>
      <c r="K33" s="29">
        <f t="shared" si="2"/>
        <v>5739268.2071419889</v>
      </c>
      <c r="L33" s="29">
        <f t="shared" si="10"/>
        <v>7065208.3018347565</v>
      </c>
      <c r="M33" s="29">
        <f>L33*((1+'1. Inputs'!$C$17)^((C33-C32)/365)-1)</f>
        <v>96771.316605034604</v>
      </c>
      <c r="N33" s="29">
        <f t="shared" si="3"/>
        <v>7161979.6184397908</v>
      </c>
      <c r="O33" s="29">
        <f t="shared" si="4"/>
        <v>7161979.6184397908</v>
      </c>
      <c r="P33" s="29">
        <f>MIN(MAX(0,F33-J33),IF('1. Inputs'!$C$19=0,0,O33/'1. Inputs'!$C$19))</f>
        <v>0</v>
      </c>
      <c r="Q33" s="29">
        <f>P33*'1. Inputs'!$C$19</f>
        <v>0</v>
      </c>
      <c r="R33" s="29">
        <f>P33*'1. Inputs'!$C$20</f>
        <v>0</v>
      </c>
      <c r="S33" s="29">
        <f t="shared" si="5"/>
        <v>7161979.6184397908</v>
      </c>
      <c r="T33" s="29">
        <f t="shared" si="6"/>
        <v>0</v>
      </c>
      <c r="U33" s="29">
        <f>T33*'1. Inputs'!$C$22</f>
        <v>0</v>
      </c>
      <c r="V33" s="29">
        <f>T33*'1. Inputs'!$C$23</f>
        <v>0</v>
      </c>
      <c r="W33" s="29">
        <f>D33*'1. Inputs'!$C$27+R33+V33</f>
        <v>0</v>
      </c>
      <c r="X33" s="29">
        <f t="shared" si="7"/>
        <v>0</v>
      </c>
      <c r="Y33" s="29">
        <f>(J33+Q33+U33)*'1. Inputs'!$D$29/('1. Inputs'!$D$29+'1. Inputs'!$D$30)</f>
        <v>0</v>
      </c>
      <c r="Z33" s="29">
        <f>(J33+Q33+U33)*'1. Inputs'!$D$30/('1. Inputs'!$D$29+'1. Inputs'!$D$30)</f>
        <v>0</v>
      </c>
      <c r="AA33" s="7">
        <f t="shared" si="8"/>
        <v>0</v>
      </c>
      <c r="AB33" s="29">
        <f t="shared" si="11"/>
        <v>0</v>
      </c>
      <c r="AC33" s="29">
        <f t="shared" si="12"/>
        <v>0</v>
      </c>
      <c r="AD33" s="29">
        <f t="shared" si="13"/>
        <v>0</v>
      </c>
      <c r="AE33" s="29">
        <f t="shared" si="14"/>
        <v>0</v>
      </c>
    </row>
    <row r="34" spans="2:31" x14ac:dyDescent="0.3">
      <c r="B34" s="15">
        <f>'2. Monthly CF'!B34</f>
        <v>29</v>
      </c>
      <c r="C34" s="20">
        <f>'2. Monthly CF'!C34</f>
        <v>45961</v>
      </c>
      <c r="D34" s="28">
        <f>MAX(0,'2. Monthly CF'!D34)</f>
        <v>50000</v>
      </c>
      <c r="E34" s="29">
        <f>D34*'1. Inputs'!$C$28</f>
        <v>2500</v>
      </c>
      <c r="F34" s="29">
        <v>47495</v>
      </c>
      <c r="G34" s="29">
        <f t="shared" si="9"/>
        <v>5739268.2071419889</v>
      </c>
      <c r="H34" s="29">
        <f>G34*((1+'1. Inputs'!$C$16)^((C34-C33)/365)-1)</f>
        <v>42160.96512199982</v>
      </c>
      <c r="I34" s="29">
        <f t="shared" si="0"/>
        <v>5781429.1722639883</v>
      </c>
      <c r="J34" s="29">
        <f t="shared" si="1"/>
        <v>47495</v>
      </c>
      <c r="K34" s="29">
        <f t="shared" si="2"/>
        <v>5733934.1722639883</v>
      </c>
      <c r="L34" s="29">
        <f t="shared" si="10"/>
        <v>7161979.6184397908</v>
      </c>
      <c r="M34" s="29">
        <f>L34*((1+'1. Inputs'!$C$17)^((C34-C33)/365)-1)</f>
        <v>101389.71320515382</v>
      </c>
      <c r="N34" s="29">
        <f t="shared" si="3"/>
        <v>7263369.3316449448</v>
      </c>
      <c r="O34" s="29">
        <f t="shared" si="4"/>
        <v>7215874.3316449448</v>
      </c>
      <c r="P34" s="29">
        <f>MIN(MAX(0,F34-J34),IF('1. Inputs'!$C$19=0,0,O34/'1. Inputs'!$C$19))</f>
        <v>0</v>
      </c>
      <c r="Q34" s="29">
        <f>P34*'1. Inputs'!$C$19</f>
        <v>0</v>
      </c>
      <c r="R34" s="29">
        <f>P34*'1. Inputs'!$C$20</f>
        <v>0</v>
      </c>
      <c r="S34" s="29">
        <f t="shared" si="5"/>
        <v>7215874.3316449448</v>
      </c>
      <c r="T34" s="29">
        <f t="shared" si="6"/>
        <v>0</v>
      </c>
      <c r="U34" s="29">
        <f>T34*'1. Inputs'!$C$22</f>
        <v>0</v>
      </c>
      <c r="V34" s="29">
        <f>T34*'1. Inputs'!$C$23</f>
        <v>0</v>
      </c>
      <c r="W34" s="29">
        <f>D34*'1. Inputs'!$C$27+R34+V34</f>
        <v>5</v>
      </c>
      <c r="X34" s="29">
        <f t="shared" si="7"/>
        <v>2500</v>
      </c>
      <c r="Y34" s="29">
        <f>(J34+Q34+U34)*'1. Inputs'!$D$29/('1. Inputs'!$D$29+'1. Inputs'!$D$30)</f>
        <v>9755</v>
      </c>
      <c r="Z34" s="29">
        <f>(J34+Q34+U34)*'1. Inputs'!$D$30/('1. Inputs'!$D$29+'1. Inputs'!$D$30)</f>
        <v>37740</v>
      </c>
      <c r="AA34" s="7">
        <f t="shared" si="8"/>
        <v>0</v>
      </c>
      <c r="AB34" s="29">
        <f t="shared" si="11"/>
        <v>5</v>
      </c>
      <c r="AC34" s="29">
        <f t="shared" si="12"/>
        <v>2500</v>
      </c>
      <c r="AD34" s="29">
        <f t="shared" si="13"/>
        <v>9755</v>
      </c>
      <c r="AE34" s="29">
        <f t="shared" si="14"/>
        <v>37740</v>
      </c>
    </row>
    <row r="35" spans="2:31" x14ac:dyDescent="0.3">
      <c r="B35" s="15">
        <f>'2. Monthly CF'!B35</f>
        <v>30</v>
      </c>
      <c r="C35" s="20">
        <f>'2. Monthly CF'!C35</f>
        <v>45991</v>
      </c>
      <c r="D35" s="28">
        <f>MAX(0,'2. Monthly CF'!D35)</f>
        <v>0</v>
      </c>
      <c r="E35" s="29">
        <f>D35*'1. Inputs'!$C$28</f>
        <v>0</v>
      </c>
      <c r="F35" s="29">
        <v>0</v>
      </c>
      <c r="G35" s="29">
        <f t="shared" si="9"/>
        <v>5733934.1722639883</v>
      </c>
      <c r="H35" s="29">
        <f>G35*((1+'1. Inputs'!$C$16)^((C35-C34)/365)-1)</f>
        <v>40758.196261048884</v>
      </c>
      <c r="I35" s="29">
        <f t="shared" si="0"/>
        <v>5774692.3685250375</v>
      </c>
      <c r="J35" s="29">
        <f t="shared" si="1"/>
        <v>0</v>
      </c>
      <c r="K35" s="29">
        <f t="shared" si="2"/>
        <v>5774692.3685250375</v>
      </c>
      <c r="L35" s="29">
        <f t="shared" si="10"/>
        <v>7215874.3316449448</v>
      </c>
      <c r="M35" s="29">
        <f>L35*((1+'1. Inputs'!$C$17)^((C35-C34)/365)-1)</f>
        <v>98834.971270191338</v>
      </c>
      <c r="N35" s="29">
        <f t="shared" si="3"/>
        <v>7314709.3029151363</v>
      </c>
      <c r="O35" s="29">
        <f t="shared" si="4"/>
        <v>7314709.3029151363</v>
      </c>
      <c r="P35" s="29">
        <f>MIN(MAX(0,F35-J35),IF('1. Inputs'!$C$19=0,0,O35/'1. Inputs'!$C$19))</f>
        <v>0</v>
      </c>
      <c r="Q35" s="29">
        <f>P35*'1. Inputs'!$C$19</f>
        <v>0</v>
      </c>
      <c r="R35" s="29">
        <f>P35*'1. Inputs'!$C$20</f>
        <v>0</v>
      </c>
      <c r="S35" s="29">
        <f t="shared" si="5"/>
        <v>7314709.3029151363</v>
      </c>
      <c r="T35" s="29">
        <f t="shared" si="6"/>
        <v>0</v>
      </c>
      <c r="U35" s="29">
        <f>T35*'1. Inputs'!$C$22</f>
        <v>0</v>
      </c>
      <c r="V35" s="29">
        <f>T35*'1. Inputs'!$C$23</f>
        <v>0</v>
      </c>
      <c r="W35" s="29">
        <f>D35*'1. Inputs'!$C$27+R35+V35</f>
        <v>0</v>
      </c>
      <c r="X35" s="29">
        <f t="shared" si="7"/>
        <v>0</v>
      </c>
      <c r="Y35" s="29">
        <f>(J35+Q35+U35)*'1. Inputs'!$D$29/('1. Inputs'!$D$29+'1. Inputs'!$D$30)</f>
        <v>0</v>
      </c>
      <c r="Z35" s="29">
        <f>(J35+Q35+U35)*'1. Inputs'!$D$30/('1. Inputs'!$D$29+'1. Inputs'!$D$30)</f>
        <v>0</v>
      </c>
      <c r="AA35" s="7">
        <f t="shared" si="8"/>
        <v>0</v>
      </c>
      <c r="AB35" s="29">
        <f t="shared" si="11"/>
        <v>0</v>
      </c>
      <c r="AC35" s="29">
        <f t="shared" si="12"/>
        <v>0</v>
      </c>
      <c r="AD35" s="29">
        <f t="shared" si="13"/>
        <v>0</v>
      </c>
      <c r="AE35" s="29">
        <f t="shared" si="14"/>
        <v>0</v>
      </c>
    </row>
    <row r="36" spans="2:31" x14ac:dyDescent="0.3">
      <c r="B36" s="15">
        <f>'2. Monthly CF'!B36</f>
        <v>31</v>
      </c>
      <c r="C36" s="20">
        <f>'2. Monthly CF'!C36</f>
        <v>46022</v>
      </c>
      <c r="D36" s="28">
        <f>MAX(0,'2. Monthly CF'!D36)</f>
        <v>9951466</v>
      </c>
      <c r="E36" s="29">
        <f>D36*'1. Inputs'!$C$28</f>
        <v>497573.30000000005</v>
      </c>
      <c r="F36" s="29">
        <v>9452897.5533999987</v>
      </c>
      <c r="G36" s="29">
        <f t="shared" si="9"/>
        <v>5774692.3685250375</v>
      </c>
      <c r="H36" s="29">
        <f>G36*((1+'1. Inputs'!$C$16)^((C36-C35)/365)-1)</f>
        <v>42421.19286857704</v>
      </c>
      <c r="I36" s="29">
        <f t="shared" si="0"/>
        <v>5817113.5613936149</v>
      </c>
      <c r="J36" s="29">
        <f t="shared" si="1"/>
        <v>5817113.5613936149</v>
      </c>
      <c r="K36" s="29">
        <f t="shared" si="2"/>
        <v>0</v>
      </c>
      <c r="L36" s="29">
        <f t="shared" si="10"/>
        <v>7314709.3029151363</v>
      </c>
      <c r="M36" s="29">
        <f>L36*((1+'1. Inputs'!$C$17)^((C36-C35)/365)-1)</f>
        <v>103551.85548031465</v>
      </c>
      <c r="N36" s="29">
        <f t="shared" si="3"/>
        <v>7418261.1583954506</v>
      </c>
      <c r="O36" s="29">
        <f t="shared" si="4"/>
        <v>1601147.5970018357</v>
      </c>
      <c r="P36" s="29">
        <f>MIN(MAX(0,F36-J36),IF('1. Inputs'!$C$19=0,0,O36/'1. Inputs'!$C$19))</f>
        <v>2134863.4626691141</v>
      </c>
      <c r="Q36" s="29">
        <f>P36*'1. Inputs'!$C$19</f>
        <v>1601147.5970018357</v>
      </c>
      <c r="R36" s="29">
        <f>P36*'1. Inputs'!$C$20</f>
        <v>533715.86566727853</v>
      </c>
      <c r="S36" s="29">
        <f t="shared" si="5"/>
        <v>0</v>
      </c>
      <c r="T36" s="29">
        <f t="shared" si="6"/>
        <v>1500920.5293372697</v>
      </c>
      <c r="U36" s="29">
        <f>T36*'1. Inputs'!$C$22</f>
        <v>900552.31760236179</v>
      </c>
      <c r="V36" s="29">
        <f>T36*'1. Inputs'!$C$23</f>
        <v>600368.21173490793</v>
      </c>
      <c r="W36" s="29">
        <f>D36*'1. Inputs'!$C$27+R36+V36</f>
        <v>1135079.2240021864</v>
      </c>
      <c r="X36" s="29">
        <f t="shared" si="7"/>
        <v>497573.30000000005</v>
      </c>
      <c r="Y36" s="29">
        <f>(J36+Q36+U36)*'1. Inputs'!$D$29/('1. Inputs'!$D$29+'1. Inputs'!$D$30)</f>
        <v>1708601.4413803276</v>
      </c>
      <c r="Z36" s="29">
        <f>(J36+Q36+U36)*'1. Inputs'!$D$30/('1. Inputs'!$D$29+'1. Inputs'!$D$30)</f>
        <v>6610212.0346174845</v>
      </c>
      <c r="AA36" s="7">
        <f t="shared" si="8"/>
        <v>0</v>
      </c>
      <c r="AB36" s="29">
        <f t="shared" si="11"/>
        <v>1135079.2240021864</v>
      </c>
      <c r="AC36" s="29">
        <f t="shared" si="12"/>
        <v>497573.30000000005</v>
      </c>
      <c r="AD36" s="29">
        <f t="shared" si="13"/>
        <v>1708601.4413803276</v>
      </c>
      <c r="AE36" s="29">
        <f t="shared" si="14"/>
        <v>6610212.0346174845</v>
      </c>
    </row>
    <row r="37" spans="2:31" x14ac:dyDescent="0.3">
      <c r="B37" s="21" t="str">
        <f>"Tot"</f>
        <v>Tot</v>
      </c>
      <c r="D37" s="31">
        <f>SUM(D5:D36)</f>
        <v>12076466</v>
      </c>
      <c r="E37" s="31">
        <f>SUM(E5:E36)</f>
        <v>603823.30000000005</v>
      </c>
      <c r="F37" s="31">
        <f>SUM(F5:F36)</f>
        <v>11471435.053399999</v>
      </c>
      <c r="G37" s="32"/>
      <c r="H37" s="32"/>
      <c r="I37" s="32"/>
      <c r="J37" s="31">
        <f>SUM(J5:J36)</f>
        <v>7835651.0613936149</v>
      </c>
      <c r="K37" s="32"/>
      <c r="L37" s="32"/>
      <c r="M37" s="32"/>
      <c r="N37" s="32"/>
      <c r="O37" s="32"/>
      <c r="P37" s="31">
        <f>SUM(P5:P36)</f>
        <v>2134863.4626691141</v>
      </c>
      <c r="Q37" s="31">
        <f>SUM(Q5:Q36)</f>
        <v>1601147.5970018357</v>
      </c>
      <c r="R37" s="31">
        <f>SUM(R5:R36)</f>
        <v>533715.86566727853</v>
      </c>
      <c r="S37" s="32"/>
      <c r="T37" s="31">
        <f t="shared" ref="T37:AA37" si="15">SUM(T5:T36)</f>
        <v>1500920.5293372697</v>
      </c>
      <c r="U37" s="31">
        <f t="shared" si="15"/>
        <v>900552.31760236179</v>
      </c>
      <c r="V37" s="31">
        <f t="shared" si="15"/>
        <v>600368.21173490793</v>
      </c>
      <c r="W37" s="31">
        <f t="shared" si="15"/>
        <v>1135291.7240021864</v>
      </c>
      <c r="X37" s="31">
        <f t="shared" si="15"/>
        <v>603823.30000000005</v>
      </c>
      <c r="Y37" s="31">
        <f t="shared" si="15"/>
        <v>2123188.9413803276</v>
      </c>
      <c r="Z37" s="31">
        <f t="shared" si="15"/>
        <v>8214162.0346174845</v>
      </c>
      <c r="AA37" s="10">
        <f t="shared" si="15"/>
        <v>0</v>
      </c>
    </row>
    <row r="39" spans="2:31" ht="15" customHeight="1" x14ac:dyDescent="0.3">
      <c r="B39" s="49" t="s">
        <v>124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2:31" ht="26.4" x14ac:dyDescent="0.3">
      <c r="B40" s="4" t="s">
        <v>69</v>
      </c>
      <c r="C40" s="4" t="s">
        <v>125</v>
      </c>
      <c r="D40" s="4" t="s">
        <v>117</v>
      </c>
      <c r="E40" s="4" t="s">
        <v>118</v>
      </c>
      <c r="F40" s="4" t="s">
        <v>119</v>
      </c>
    </row>
    <row r="41" spans="2:31" ht="52.8" x14ac:dyDescent="0.3">
      <c r="B41" s="5" t="s">
        <v>70</v>
      </c>
      <c r="C41" s="28">
        <f>'1. Inputs'!$D$27</f>
        <v>679</v>
      </c>
      <c r="D41" s="28">
        <f>'1. Inputs'!$D$28</f>
        <v>339500</v>
      </c>
      <c r="E41" s="28">
        <f>'1. Inputs'!$D$29</f>
        <v>1324729</v>
      </c>
      <c r="F41" s="28">
        <f>'1. Inputs'!$D$30</f>
        <v>5125092</v>
      </c>
    </row>
    <row r="42" spans="2:31" ht="52.8" x14ac:dyDescent="0.3">
      <c r="B42" s="5" t="s">
        <v>43</v>
      </c>
      <c r="C42" s="29">
        <f>SUM(W5:W36)</f>
        <v>1135291.7240021864</v>
      </c>
      <c r="D42" s="29">
        <f>SUM(X5:X36)</f>
        <v>603823.30000000005</v>
      </c>
      <c r="E42" s="29">
        <f>SUM(Y5:Y36)</f>
        <v>2123188.9413803276</v>
      </c>
      <c r="F42" s="29">
        <f>SUM(Z5:Z36)</f>
        <v>8214162.0346174845</v>
      </c>
    </row>
    <row r="43" spans="2:31" x14ac:dyDescent="0.3">
      <c r="B43" s="5" t="s">
        <v>71</v>
      </c>
      <c r="C43" s="29">
        <f>C42-C41</f>
        <v>1134612.7240021864</v>
      </c>
      <c r="D43" s="29">
        <f>D42-D41</f>
        <v>264323.30000000005</v>
      </c>
      <c r="E43" s="29">
        <f>E42-E41</f>
        <v>798459.94138032757</v>
      </c>
      <c r="F43" s="29">
        <f>F42-F41</f>
        <v>3089070.0346174845</v>
      </c>
    </row>
    <row r="44" spans="2:31" x14ac:dyDescent="0.3">
      <c r="B44" s="5" t="s">
        <v>72</v>
      </c>
      <c r="C44" s="19">
        <f>C42/C41</f>
        <v>1672.0054845393026</v>
      </c>
      <c r="D44" s="19">
        <f>D42/D41</f>
        <v>1.7785664212076584</v>
      </c>
      <c r="E44" s="19">
        <f>E42/E41</f>
        <v>1.602734552788025</v>
      </c>
      <c r="F44" s="19">
        <f>F42/F41</f>
        <v>1.602734552788025</v>
      </c>
    </row>
    <row r="45" spans="2:31" ht="39.6" x14ac:dyDescent="0.3">
      <c r="B45" s="5" t="s">
        <v>73</v>
      </c>
      <c r="C45" s="26">
        <f>XIRR(AB5:AB36,C5:C36)</f>
        <v>16.740348529815677</v>
      </c>
      <c r="D45" s="26">
        <f>XIRR(AC5:AC36,C5:C36)</f>
        <v>0.27954488396644595</v>
      </c>
      <c r="E45" s="26">
        <f>XIRR(AD5:AD36,C5:C36)</f>
        <v>0.22578176856040952</v>
      </c>
      <c r="F45" s="26">
        <f>XIRR(AE5:AE36,C5:C36)</f>
        <v>0.22578176856040952</v>
      </c>
    </row>
    <row r="47" spans="2:31" ht="118.8" x14ac:dyDescent="0.3">
      <c r="B47" s="22" t="s">
        <v>126</v>
      </c>
      <c r="C47" s="23">
        <f>ROUND(SUM(C42:F42)-'2. Monthly CF'!$D$37,2)</f>
        <v>0</v>
      </c>
      <c r="D47" s="24" t="str">
        <f>IF(ABS(C47)&lt;0.5,"OK","FAIL")</f>
        <v>OK</v>
      </c>
    </row>
  </sheetData>
  <mergeCells count="9">
    <mergeCell ref="B39:Z39"/>
    <mergeCell ref="B2:AA2"/>
    <mergeCell ref="E3:F3"/>
    <mergeCell ref="G3:I3"/>
    <mergeCell ref="J3:K3"/>
    <mergeCell ref="L3:O3"/>
    <mergeCell ref="P3:S3"/>
    <mergeCell ref="T3:V3"/>
    <mergeCell ref="W3:Z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D7E2-C718-4B83-A752-CF31102C0008}">
  <dimension ref="B2:F35"/>
  <sheetViews>
    <sheetView showGridLines="0" tabSelected="0" zoomScale="66" workbookViewId="0">
      <selection activeCell="D8" sqref="D8"/>
    </sheetView>
  </sheetViews>
  <sheetFormatPr defaultColWidth="8.6640625" defaultRowHeight="14.4" x14ac:dyDescent="0.3"/>
  <cols>
    <col min="1" max="1" width="3" customWidth="1"/>
    <col min="2" max="2" width="28" customWidth="1"/>
    <col min="3" max="3" width="22" customWidth="1"/>
    <col min="4" max="4" width="8" customWidth="1"/>
    <col min="5" max="5" width="28" customWidth="1"/>
    <col min="6" max="6" width="22" customWidth="1"/>
  </cols>
  <sheetData>
    <row r="2" spans="2:6" ht="25.5" customHeight="1" x14ac:dyDescent="0.3">
      <c r="B2" s="48" t="s">
        <v>148</v>
      </c>
      <c r="C2" s="48"/>
      <c r="D2" s="48"/>
      <c r="E2" s="48"/>
      <c r="F2" s="48"/>
    </row>
    <row r="4" spans="2:6" ht="15" customHeight="1" x14ac:dyDescent="0.3">
      <c r="B4" s="49" t="s">
        <v>127</v>
      </c>
      <c r="C4" s="49"/>
      <c r="D4" s="49"/>
      <c r="E4" s="49"/>
      <c r="F4" s="49"/>
    </row>
    <row r="5" spans="2:6" ht="15" customHeight="1" x14ac:dyDescent="0.3">
      <c r="B5" s="51" t="s">
        <v>128</v>
      </c>
      <c r="C5" s="51"/>
      <c r="E5" s="51" t="s">
        <v>129</v>
      </c>
      <c r="F5" s="51"/>
    </row>
    <row r="6" spans="2:6" x14ac:dyDescent="0.3">
      <c r="B6" s="1" t="s">
        <v>70</v>
      </c>
      <c r="C6" s="33">
        <f>'3. Part I Waterfall'!C41</f>
        <v>679000</v>
      </c>
      <c r="E6" s="1" t="s">
        <v>70</v>
      </c>
      <c r="F6" s="33">
        <f>'3. Part I Waterfall'!D41</f>
        <v>6111000</v>
      </c>
    </row>
    <row r="7" spans="2:6" x14ac:dyDescent="0.3">
      <c r="B7" s="1" t="s">
        <v>130</v>
      </c>
      <c r="C7" s="34">
        <f>'3. Part I Waterfall'!C45</f>
        <v>0.58708112835884108</v>
      </c>
      <c r="E7" s="1" t="s">
        <v>130</v>
      </c>
      <c r="F7" s="34">
        <f>'3. Part I Waterfall'!D45</f>
        <v>0.2367765843868255</v>
      </c>
    </row>
    <row r="8" spans="2:6" x14ac:dyDescent="0.3">
      <c r="B8" s="1" t="s">
        <v>72</v>
      </c>
      <c r="C8" s="25">
        <f>'3. Part I Waterfall'!C44</f>
        <v>3.0468983612745784</v>
      </c>
      <c r="E8" s="1" t="s">
        <v>72</v>
      </c>
      <c r="F8" s="25">
        <f>'3. Part I Waterfall'!D44</f>
        <v>1.6376406500891114</v>
      </c>
    </row>
    <row r="9" spans="2:6" x14ac:dyDescent="0.3">
      <c r="B9" s="1" t="s">
        <v>71</v>
      </c>
      <c r="C9" s="33">
        <f>'3. Part I Waterfall'!C43</f>
        <v>1389843.9873054388</v>
      </c>
      <c r="E9" s="1" t="s">
        <v>71</v>
      </c>
      <c r="F9" s="33">
        <f>'3. Part I Waterfall'!D43</f>
        <v>3896622.01269456</v>
      </c>
    </row>
    <row r="12" spans="2:6" ht="15" customHeight="1" x14ac:dyDescent="0.3">
      <c r="B12" s="49" t="s">
        <v>131</v>
      </c>
      <c r="C12" s="49"/>
      <c r="D12" s="49"/>
      <c r="E12" s="49"/>
      <c r="F12" s="49"/>
    </row>
    <row r="13" spans="2:6" ht="15" customHeight="1" x14ac:dyDescent="0.3">
      <c r="B13" s="51" t="s">
        <v>132</v>
      </c>
      <c r="C13" s="51"/>
      <c r="E13" s="51" t="s">
        <v>133</v>
      </c>
      <c r="F13" s="51"/>
    </row>
    <row r="14" spans="2:6" x14ac:dyDescent="0.3">
      <c r="B14" s="1" t="s">
        <v>70</v>
      </c>
      <c r="C14" s="33">
        <f>'4. Part II Waterfall'!C41</f>
        <v>679000</v>
      </c>
      <c r="E14" s="1" t="s">
        <v>70</v>
      </c>
      <c r="F14" s="33">
        <f>'4. Part II Waterfall'!D41</f>
        <v>6111000</v>
      </c>
    </row>
    <row r="15" spans="2:6" x14ac:dyDescent="0.3">
      <c r="B15" s="1" t="s">
        <v>130</v>
      </c>
      <c r="C15" s="34">
        <f>'4. Part II Waterfall'!C45</f>
        <v>0.64926684498786935</v>
      </c>
      <c r="E15" s="1" t="s">
        <v>130</v>
      </c>
      <c r="F15" s="34">
        <f>'4. Part II Waterfall'!D45</f>
        <v>0.22578176856040952</v>
      </c>
    </row>
    <row r="16" spans="2:6" x14ac:dyDescent="0.3">
      <c r="B16" s="1" t="s">
        <v>72</v>
      </c>
      <c r="C16" s="25">
        <f>'4. Part II Waterfall'!C44</f>
        <v>3.3610532369843571</v>
      </c>
      <c r="E16" s="1" t="s">
        <v>72</v>
      </c>
      <c r="F16" s="25">
        <f>'4. Part II Waterfall'!D44</f>
        <v>1.6027345527880252</v>
      </c>
    </row>
    <row r="17" spans="2:6" x14ac:dyDescent="0.3">
      <c r="B17" s="1" t="s">
        <v>71</v>
      </c>
      <c r="C17" s="33">
        <f>'4. Part II Waterfall'!C43</f>
        <v>1603155.1479123784</v>
      </c>
      <c r="E17" s="1" t="s">
        <v>71</v>
      </c>
      <c r="F17" s="33">
        <f>'4. Part II Waterfall'!D43</f>
        <v>3683310.8520876225</v>
      </c>
    </row>
    <row r="20" spans="2:6" ht="15" customHeight="1" x14ac:dyDescent="0.3">
      <c r="B20" s="49" t="s">
        <v>134</v>
      </c>
      <c r="C20" s="49"/>
      <c r="D20" s="49"/>
      <c r="E20" s="49"/>
      <c r="F20" s="49"/>
    </row>
    <row r="21" spans="2:6" ht="15" customHeight="1" x14ac:dyDescent="0.3">
      <c r="B21" s="51" t="s">
        <v>135</v>
      </c>
      <c r="C21" s="51"/>
      <c r="E21" s="51" t="s">
        <v>136</v>
      </c>
      <c r="F21" s="51"/>
    </row>
    <row r="22" spans="2:6" x14ac:dyDescent="0.3">
      <c r="B22" s="1" t="s">
        <v>70</v>
      </c>
      <c r="C22" s="33">
        <f>'5. Part III Waterfall'!C41</f>
        <v>679</v>
      </c>
      <c r="E22" s="1" t="s">
        <v>70</v>
      </c>
      <c r="F22" s="33">
        <f>'5. Part III Waterfall'!D41</f>
        <v>339500</v>
      </c>
    </row>
    <row r="23" spans="2:6" x14ac:dyDescent="0.3">
      <c r="B23" s="1" t="s">
        <v>130</v>
      </c>
      <c r="C23" s="34">
        <f>'5. Part III Waterfall'!C45</f>
        <v>16.740348529815677</v>
      </c>
      <c r="E23" s="1" t="s">
        <v>130</v>
      </c>
      <c r="F23" s="34">
        <f>'5. Part III Waterfall'!D45</f>
        <v>0.27954488396644595</v>
      </c>
    </row>
    <row r="24" spans="2:6" x14ac:dyDescent="0.3">
      <c r="B24" s="1" t="s">
        <v>72</v>
      </c>
      <c r="C24" s="25">
        <f>'5. Part III Waterfall'!C44</f>
        <v>1672.0054845393026</v>
      </c>
      <c r="E24" s="1" t="s">
        <v>72</v>
      </c>
      <c r="F24" s="25">
        <f>'5. Part III Waterfall'!D44</f>
        <v>1.7785664212076584</v>
      </c>
    </row>
    <row r="25" spans="2:6" x14ac:dyDescent="0.3">
      <c r="B25" s="1" t="s">
        <v>71</v>
      </c>
      <c r="C25" s="33">
        <f>'5. Part III Waterfall'!C43</f>
        <v>1134612.7240021864</v>
      </c>
      <c r="E25" s="1" t="s">
        <v>71</v>
      </c>
      <c r="F25" s="33">
        <f>'5. Part III Waterfall'!D43</f>
        <v>264323.30000000005</v>
      </c>
    </row>
    <row r="28" spans="2:6" ht="15" customHeight="1" x14ac:dyDescent="0.3">
      <c r="B28" s="51" t="s">
        <v>137</v>
      </c>
      <c r="C28" s="51"/>
      <c r="E28" s="51" t="s">
        <v>138</v>
      </c>
      <c r="F28" s="51"/>
    </row>
    <row r="29" spans="2:6" x14ac:dyDescent="0.3">
      <c r="B29" s="1" t="s">
        <v>70</v>
      </c>
      <c r="C29" s="33">
        <f>'5. Part III Waterfall'!E41</f>
        <v>1324729</v>
      </c>
      <c r="E29" s="1" t="s">
        <v>70</v>
      </c>
      <c r="F29" s="33">
        <f>'5. Part III Waterfall'!F41</f>
        <v>5125092</v>
      </c>
    </row>
    <row r="30" spans="2:6" x14ac:dyDescent="0.3">
      <c r="B30" s="1" t="s">
        <v>130</v>
      </c>
      <c r="C30" s="34">
        <f>'5. Part III Waterfall'!E45</f>
        <v>0.22578176856040952</v>
      </c>
      <c r="E30" s="1" t="s">
        <v>130</v>
      </c>
      <c r="F30" s="34">
        <f>'5. Part III Waterfall'!F45</f>
        <v>0.22578176856040952</v>
      </c>
    </row>
    <row r="31" spans="2:6" x14ac:dyDescent="0.3">
      <c r="B31" s="1" t="s">
        <v>72</v>
      </c>
      <c r="C31" s="25">
        <f>'5. Part III Waterfall'!E44</f>
        <v>1.602734552788025</v>
      </c>
      <c r="E31" s="1" t="s">
        <v>72</v>
      </c>
      <c r="F31" s="25">
        <f>'5. Part III Waterfall'!F44</f>
        <v>1.602734552788025</v>
      </c>
    </row>
    <row r="32" spans="2:6" x14ac:dyDescent="0.3">
      <c r="B32" s="1" t="s">
        <v>71</v>
      </c>
      <c r="C32" s="33">
        <f>'5. Part III Waterfall'!E43</f>
        <v>798459.94138032757</v>
      </c>
      <c r="E32" s="1" t="s">
        <v>71</v>
      </c>
      <c r="F32" s="33">
        <f>'5. Part III Waterfall'!F43</f>
        <v>3089070.0346174845</v>
      </c>
    </row>
    <row r="35" spans="2:2" x14ac:dyDescent="0.3">
      <c r="B35" s="14"/>
    </row>
  </sheetData>
  <mergeCells count="12">
    <mergeCell ref="B2:F2"/>
    <mergeCell ref="B4:F4"/>
    <mergeCell ref="B5:C5"/>
    <mergeCell ref="E5:F5"/>
    <mergeCell ref="B12:F12"/>
    <mergeCell ref="B28:C28"/>
    <mergeCell ref="E28:F28"/>
    <mergeCell ref="B13:C13"/>
    <mergeCell ref="E13:F13"/>
    <mergeCell ref="B20:F20"/>
    <mergeCell ref="B21:C21"/>
    <mergeCell ref="E21:F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Investor Summary</vt:lpstr>
      <vt:lpstr>1. Inputs</vt:lpstr>
      <vt:lpstr>2. Monthly CF</vt:lpstr>
      <vt:lpstr>3. Part I Waterfall</vt:lpstr>
      <vt:lpstr>4. Part II Waterfall</vt:lpstr>
      <vt:lpstr>5. Part III Waterfall</vt:lpstr>
      <vt:lpstr>6. Returns Summary</vt:lpstr>
      <vt:lpstr>'Investor Summary'!Print_Area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cp:lastPrinted>2026-10-06T22:07:11Z</cp:lastPrinted>
  <dcterms:created xsi:type="dcterms:W3CDTF">2026-04-29T01:22:01Z</dcterms:created>
  <dcterms:modified xsi:type="dcterms:W3CDTF">2026-10-06T22:07:11Z</dcterms:modified>
</cp:coreProperties>
</file>